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date1904="1" showInkAnnotation="0" autoCompressPictures="0"/>
  <bookViews>
    <workbookView xWindow="-20" yWindow="0" windowWidth="27060" windowHeight="17300" tabRatio="947" firstSheet="1" activeTab="1"/>
  </bookViews>
  <sheets>
    <sheet name="Sheet1" sheetId="27" r:id="rId1"/>
    <sheet name="Summary" sheetId="20" r:id="rId2"/>
    <sheet name="Online" sheetId="1" r:id="rId3"/>
    <sheet name="Magazine" sheetId="18" r:id="rId4"/>
    <sheet name="Digital Retail" sheetId="17" r:id="rId5"/>
    <sheet name="Overhead" sheetId="16" r:id="rId6"/>
    <sheet name="DC Costs" sheetId="3" r:id="rId7"/>
    <sheet name="Email Costs" sheetId="2" r:id="rId8"/>
    <sheet name="Graph Data" sheetId="6" r:id="rId9"/>
    <sheet name="Visits" sheetId="11" r:id="rId10"/>
    <sheet name="Online Rev" sheetId="8" r:id="rId11"/>
    <sheet name="Magazine Rev" sheetId="21" r:id="rId12"/>
    <sheet name="DigRetail Rev" sheetId="22" r:id="rId13"/>
    <sheet name="Total Rev" sheetId="23" r:id="rId14"/>
    <sheet name="Profit Growth" sheetId="30" r:id="rId15"/>
    <sheet name="Product Mix" sheetId="29" r:id="rId16"/>
    <sheet name="Online P&amp;L" sheetId="10" r:id="rId17"/>
    <sheet name="Aud Growth" sheetId="24" r:id="rId18"/>
    <sheet name="Rev Growth" sheetId="25" r:id="rId19"/>
    <sheet name="Circ Growth" sheetId="28" r:id="rId20"/>
  </sheets>
  <definedNames>
    <definedName name="_xlnm.Print_Area" localSheetId="2">Online!$A$1:$F$115</definedName>
    <definedName name="_xlnm.Print_Titles" localSheetId="4">'Digital Retail'!$1:$5</definedName>
    <definedName name="_xlnm.Print_Titles" localSheetId="5">Overhead!$1:$5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20" l="1"/>
  <c r="E16" i="20"/>
  <c r="D16" i="20"/>
  <c r="C16" i="20"/>
  <c r="B16" i="20"/>
  <c r="F44" i="17"/>
  <c r="E44" i="17"/>
  <c r="D44" i="17"/>
  <c r="C44" i="17"/>
  <c r="B44" i="17"/>
  <c r="F10" i="17"/>
  <c r="E10" i="17"/>
  <c r="D10" i="17"/>
  <c r="C10" i="17"/>
  <c r="B10" i="17"/>
  <c r="F41" i="17"/>
  <c r="E41" i="17"/>
  <c r="D41" i="17"/>
  <c r="C41" i="17"/>
  <c r="B41" i="17"/>
  <c r="F205" i="18"/>
  <c r="D62" i="6"/>
  <c r="E62" i="6"/>
  <c r="E205" i="18"/>
  <c r="D61" i="6"/>
  <c r="E61" i="6"/>
  <c r="D205" i="18"/>
  <c r="D60" i="6"/>
  <c r="E60" i="6"/>
  <c r="C205" i="18"/>
  <c r="D59" i="6"/>
  <c r="E59" i="6"/>
  <c r="B205" i="18"/>
  <c r="D58" i="6"/>
  <c r="E58" i="6"/>
  <c r="F37" i="17"/>
  <c r="E37" i="17"/>
  <c r="D37" i="17"/>
  <c r="C37" i="17"/>
  <c r="B37" i="17"/>
  <c r="F45" i="17"/>
  <c r="E45" i="17"/>
  <c r="D45" i="17"/>
  <c r="C45" i="17"/>
  <c r="B45" i="17"/>
  <c r="F16" i="17"/>
  <c r="F22" i="17"/>
  <c r="F28" i="17"/>
  <c r="C15" i="17"/>
  <c r="D15" i="17"/>
  <c r="E15" i="17"/>
  <c r="F15" i="17"/>
  <c r="F27" i="17"/>
  <c r="F30" i="17"/>
  <c r="F21" i="17"/>
  <c r="F24" i="17"/>
  <c r="F18" i="17"/>
  <c r="F7" i="17"/>
  <c r="F11" i="17"/>
  <c r="E16" i="17"/>
  <c r="E22" i="17"/>
  <c r="E28" i="17"/>
  <c r="E27" i="17"/>
  <c r="E30" i="17"/>
  <c r="E21" i="17"/>
  <c r="E24" i="17"/>
  <c r="E18" i="17"/>
  <c r="E7" i="17"/>
  <c r="E11" i="17"/>
  <c r="D16" i="17"/>
  <c r="D22" i="17"/>
  <c r="D28" i="17"/>
  <c r="D27" i="17"/>
  <c r="D30" i="17"/>
  <c r="D21" i="17"/>
  <c r="D24" i="17"/>
  <c r="D18" i="17"/>
  <c r="D7" i="17"/>
  <c r="D11" i="17"/>
  <c r="C16" i="17"/>
  <c r="C22" i="17"/>
  <c r="C28" i="17"/>
  <c r="C27" i="17"/>
  <c r="C30" i="17"/>
  <c r="C21" i="17"/>
  <c r="C24" i="17"/>
  <c r="C18" i="17"/>
  <c r="C7" i="17"/>
  <c r="C11" i="17"/>
  <c r="B27" i="17"/>
  <c r="B30" i="17"/>
  <c r="B21" i="17"/>
  <c r="B24" i="17"/>
  <c r="B18" i="17"/>
  <c r="B7" i="17"/>
  <c r="B11" i="17"/>
  <c r="C34" i="1"/>
  <c r="D34" i="1"/>
  <c r="E34" i="1"/>
  <c r="F34" i="1"/>
  <c r="F35" i="1"/>
  <c r="F36" i="1"/>
  <c r="F54" i="1"/>
  <c r="F63" i="1"/>
  <c r="B35" i="1"/>
  <c r="B36" i="1"/>
  <c r="B41" i="1"/>
  <c r="B44" i="1"/>
  <c r="B46" i="1"/>
  <c r="C39" i="1"/>
  <c r="C35" i="1"/>
  <c r="C36" i="1"/>
  <c r="C41" i="1"/>
  <c r="C44" i="1"/>
  <c r="C46" i="1"/>
  <c r="D39" i="1"/>
  <c r="D35" i="1"/>
  <c r="D36" i="1"/>
  <c r="D41" i="1"/>
  <c r="D44" i="1"/>
  <c r="D46" i="1"/>
  <c r="E39" i="1"/>
  <c r="E35" i="1"/>
  <c r="E36" i="1"/>
  <c r="E41" i="1"/>
  <c r="E44" i="1"/>
  <c r="E46" i="1"/>
  <c r="F39" i="1"/>
  <c r="F41" i="1"/>
  <c r="F44" i="1"/>
  <c r="F46" i="1"/>
  <c r="F47" i="1"/>
  <c r="F49" i="1"/>
  <c r="F75" i="1"/>
  <c r="F83" i="1"/>
  <c r="F8" i="20"/>
  <c r="F74" i="1"/>
  <c r="F71" i="1"/>
  <c r="F98" i="1"/>
  <c r="F72" i="1"/>
  <c r="F99" i="1"/>
  <c r="F101" i="1"/>
  <c r="F102" i="1"/>
  <c r="F51" i="1"/>
  <c r="F55" i="1"/>
  <c r="F56" i="1"/>
  <c r="F106" i="1"/>
  <c r="F107" i="1"/>
  <c r="F108" i="1"/>
  <c r="F111" i="1"/>
  <c r="F113" i="1"/>
  <c r="F14" i="20"/>
  <c r="F20" i="20"/>
  <c r="B54" i="1"/>
  <c r="B62" i="1"/>
  <c r="B47" i="1"/>
  <c r="B49" i="1"/>
  <c r="B75" i="1"/>
  <c r="B74" i="1"/>
  <c r="B71" i="1"/>
  <c r="B84" i="1"/>
  <c r="B130" i="18"/>
  <c r="B188" i="18"/>
  <c r="B191" i="18"/>
  <c r="B194" i="18"/>
  <c r="C180" i="18"/>
  <c r="C79" i="18"/>
  <c r="C81" i="18"/>
  <c r="C83" i="18"/>
  <c r="C185" i="18"/>
  <c r="C54" i="1"/>
  <c r="C62" i="1"/>
  <c r="C47" i="1"/>
  <c r="C49" i="1"/>
  <c r="C75" i="1"/>
  <c r="C74" i="1"/>
  <c r="C71" i="1"/>
  <c r="C84" i="1"/>
  <c r="C130" i="18"/>
  <c r="C188" i="18"/>
  <c r="C145" i="18"/>
  <c r="C189" i="18"/>
  <c r="C191" i="18"/>
  <c r="C193" i="18"/>
  <c r="C194" i="18"/>
  <c r="D180" i="18"/>
  <c r="D79" i="18"/>
  <c r="D81" i="18"/>
  <c r="D83" i="18"/>
  <c r="D185" i="18"/>
  <c r="D54" i="1"/>
  <c r="D62" i="1"/>
  <c r="D47" i="1"/>
  <c r="D49" i="1"/>
  <c r="D75" i="1"/>
  <c r="D74" i="1"/>
  <c r="D71" i="1"/>
  <c r="D84" i="1"/>
  <c r="D130" i="18"/>
  <c r="D188" i="18"/>
  <c r="D142" i="18"/>
  <c r="D145" i="18"/>
  <c r="D189" i="18"/>
  <c r="D146" i="18"/>
  <c r="D190" i="18"/>
  <c r="D191" i="18"/>
  <c r="D193" i="18"/>
  <c r="D194" i="18"/>
  <c r="E180" i="18"/>
  <c r="E79" i="18"/>
  <c r="E81" i="18"/>
  <c r="E83" i="18"/>
  <c r="E185" i="18"/>
  <c r="E54" i="1"/>
  <c r="E62" i="1"/>
  <c r="E47" i="1"/>
  <c r="E49" i="1"/>
  <c r="E75" i="1"/>
  <c r="E74" i="1"/>
  <c r="E71" i="1"/>
  <c r="E84" i="1"/>
  <c r="E130" i="18"/>
  <c r="E188" i="18"/>
  <c r="E142" i="18"/>
  <c r="E145" i="18"/>
  <c r="E189" i="18"/>
  <c r="E146" i="18"/>
  <c r="E147" i="18"/>
  <c r="E190" i="18"/>
  <c r="E191" i="18"/>
  <c r="E193" i="18"/>
  <c r="E194" i="18"/>
  <c r="F180" i="18"/>
  <c r="F79" i="18"/>
  <c r="F81" i="18"/>
  <c r="F83" i="18"/>
  <c r="F86" i="18"/>
  <c r="F62" i="1"/>
  <c r="F84" i="1"/>
  <c r="F130" i="18"/>
  <c r="F134" i="18"/>
  <c r="F142" i="18"/>
  <c r="F145" i="18"/>
  <c r="F152" i="18"/>
  <c r="F154" i="18"/>
  <c r="F146" i="18"/>
  <c r="F147" i="18"/>
  <c r="F164" i="18"/>
  <c r="F166" i="18"/>
  <c r="F168" i="18"/>
  <c r="F185" i="18"/>
  <c r="F188" i="18"/>
  <c r="F189" i="18"/>
  <c r="F190" i="18"/>
  <c r="F191" i="18"/>
  <c r="F203" i="18"/>
  <c r="F8" i="17"/>
  <c r="F206" i="18"/>
  <c r="F218" i="18"/>
  <c r="F220" i="18"/>
  <c r="F9" i="20"/>
  <c r="F91" i="18"/>
  <c r="F90" i="18"/>
  <c r="F92" i="18"/>
  <c r="F148" i="18"/>
  <c r="F172" i="18"/>
  <c r="F173" i="18"/>
  <c r="F174" i="18"/>
  <c r="F193" i="18"/>
  <c r="F194" i="18"/>
  <c r="F197" i="18"/>
  <c r="F199" i="18"/>
  <c r="F210" i="18"/>
  <c r="F211" i="18"/>
  <c r="F212" i="18"/>
  <c r="F213" i="18"/>
  <c r="F15" i="20"/>
  <c r="F21" i="20"/>
  <c r="F10" i="20"/>
  <c r="F22" i="20"/>
  <c r="F23" i="20"/>
  <c r="F27" i="20"/>
  <c r="B75" i="6"/>
  <c r="E63" i="1"/>
  <c r="E83" i="1"/>
  <c r="E8" i="20"/>
  <c r="E98" i="1"/>
  <c r="E72" i="1"/>
  <c r="E99" i="1"/>
  <c r="E101" i="1"/>
  <c r="E102" i="1"/>
  <c r="E51" i="1"/>
  <c r="E55" i="1"/>
  <c r="E56" i="1"/>
  <c r="E106" i="1"/>
  <c r="E107" i="1"/>
  <c r="E108" i="1"/>
  <c r="E111" i="1"/>
  <c r="E113" i="1"/>
  <c r="E14" i="20"/>
  <c r="E20" i="20"/>
  <c r="E86" i="18"/>
  <c r="E134" i="18"/>
  <c r="E152" i="18"/>
  <c r="E154" i="18"/>
  <c r="E164" i="18"/>
  <c r="E166" i="18"/>
  <c r="E168" i="18"/>
  <c r="E203" i="18"/>
  <c r="E8" i="17"/>
  <c r="E206" i="18"/>
  <c r="E218" i="18"/>
  <c r="E220" i="18"/>
  <c r="E9" i="20"/>
  <c r="E91" i="18"/>
  <c r="E90" i="18"/>
  <c r="E92" i="18"/>
  <c r="E148" i="18"/>
  <c r="E172" i="18"/>
  <c r="E173" i="18"/>
  <c r="E174" i="18"/>
  <c r="E197" i="18"/>
  <c r="E199" i="18"/>
  <c r="E210" i="18"/>
  <c r="E211" i="18"/>
  <c r="E212" i="18"/>
  <c r="E213" i="18"/>
  <c r="E15" i="20"/>
  <c r="E21" i="20"/>
  <c r="E10" i="20"/>
  <c r="E22" i="20"/>
  <c r="E23" i="20"/>
  <c r="E27" i="20"/>
  <c r="B74" i="6"/>
  <c r="D63" i="1"/>
  <c r="D83" i="1"/>
  <c r="D8" i="20"/>
  <c r="D98" i="1"/>
  <c r="D72" i="1"/>
  <c r="D99" i="1"/>
  <c r="D101" i="1"/>
  <c r="D102" i="1"/>
  <c r="D51" i="1"/>
  <c r="D55" i="1"/>
  <c r="D56" i="1"/>
  <c r="D106" i="1"/>
  <c r="D107" i="1"/>
  <c r="D108" i="1"/>
  <c r="D111" i="1"/>
  <c r="D113" i="1"/>
  <c r="D14" i="20"/>
  <c r="D20" i="20"/>
  <c r="D86" i="18"/>
  <c r="D134" i="18"/>
  <c r="D152" i="18"/>
  <c r="D154" i="18"/>
  <c r="D164" i="18"/>
  <c r="D166" i="18"/>
  <c r="D168" i="18"/>
  <c r="D203" i="18"/>
  <c r="D8" i="17"/>
  <c r="D206" i="18"/>
  <c r="D218" i="18"/>
  <c r="D220" i="18"/>
  <c r="D9" i="20"/>
  <c r="D91" i="18"/>
  <c r="D90" i="18"/>
  <c r="D92" i="18"/>
  <c r="D148" i="18"/>
  <c r="D172" i="18"/>
  <c r="D173" i="18"/>
  <c r="D174" i="18"/>
  <c r="D197" i="18"/>
  <c r="D199" i="18"/>
  <c r="D210" i="18"/>
  <c r="D211" i="18"/>
  <c r="D212" i="18"/>
  <c r="D213" i="18"/>
  <c r="D15" i="20"/>
  <c r="D21" i="20"/>
  <c r="D10" i="20"/>
  <c r="D22" i="20"/>
  <c r="D23" i="20"/>
  <c r="D27" i="20"/>
  <c r="B73" i="6"/>
  <c r="C63" i="1"/>
  <c r="C83" i="1"/>
  <c r="C8" i="20"/>
  <c r="C98" i="1"/>
  <c r="C72" i="1"/>
  <c r="C99" i="1"/>
  <c r="C101" i="1"/>
  <c r="C102" i="1"/>
  <c r="C51" i="1"/>
  <c r="C55" i="1"/>
  <c r="C56" i="1"/>
  <c r="C106" i="1"/>
  <c r="C107" i="1"/>
  <c r="C108" i="1"/>
  <c r="C111" i="1"/>
  <c r="C113" i="1"/>
  <c r="C14" i="20"/>
  <c r="C20" i="20"/>
  <c r="C86" i="18"/>
  <c r="C134" i="18"/>
  <c r="C152" i="18"/>
  <c r="C154" i="18"/>
  <c r="C168" i="18"/>
  <c r="C203" i="18"/>
  <c r="C8" i="17"/>
  <c r="C206" i="18"/>
  <c r="C218" i="18"/>
  <c r="C220" i="18"/>
  <c r="C9" i="20"/>
  <c r="C91" i="18"/>
  <c r="C90" i="18"/>
  <c r="C92" i="18"/>
  <c r="C148" i="18"/>
  <c r="C172" i="18"/>
  <c r="C173" i="18"/>
  <c r="C174" i="18"/>
  <c r="C197" i="18"/>
  <c r="C199" i="18"/>
  <c r="C210" i="18"/>
  <c r="C211" i="18"/>
  <c r="C212" i="18"/>
  <c r="C213" i="18"/>
  <c r="C15" i="20"/>
  <c r="C21" i="20"/>
  <c r="C10" i="20"/>
  <c r="C22" i="20"/>
  <c r="C23" i="20"/>
  <c r="C27" i="20"/>
  <c r="B72" i="6"/>
  <c r="B63" i="1"/>
  <c r="B83" i="1"/>
  <c r="B8" i="20"/>
  <c r="B98" i="1"/>
  <c r="B72" i="1"/>
  <c r="B99" i="1"/>
  <c r="B101" i="1"/>
  <c r="B102" i="1"/>
  <c r="B51" i="1"/>
  <c r="B55" i="1"/>
  <c r="B56" i="1"/>
  <c r="B106" i="1"/>
  <c r="B107" i="1"/>
  <c r="B108" i="1"/>
  <c r="B111" i="1"/>
  <c r="B113" i="1"/>
  <c r="B14" i="20"/>
  <c r="B20" i="20"/>
  <c r="B134" i="18"/>
  <c r="B203" i="18"/>
  <c r="B8" i="17"/>
  <c r="B206" i="18"/>
  <c r="B218" i="18"/>
  <c r="B220" i="18"/>
  <c r="B9" i="20"/>
  <c r="B199" i="18"/>
  <c r="B210" i="18"/>
  <c r="B211" i="18"/>
  <c r="B212" i="18"/>
  <c r="B213" i="18"/>
  <c r="B15" i="20"/>
  <c r="B21" i="20"/>
  <c r="B10" i="20"/>
  <c r="B22" i="20"/>
  <c r="B23" i="20"/>
  <c r="B27" i="20"/>
  <c r="B71" i="6"/>
  <c r="B68" i="6"/>
  <c r="B65" i="6"/>
  <c r="F85" i="1"/>
  <c r="B66" i="6"/>
  <c r="F73" i="1"/>
  <c r="F86" i="1"/>
  <c r="B67" i="6"/>
  <c r="C68" i="6"/>
  <c r="C67" i="6"/>
  <c r="C66" i="6"/>
  <c r="C65" i="6"/>
  <c r="F87" i="1"/>
  <c r="E87" i="1"/>
  <c r="D87" i="1"/>
  <c r="C87" i="1"/>
  <c r="E73" i="1"/>
  <c r="E86" i="1"/>
  <c r="D73" i="1"/>
  <c r="D86" i="1"/>
  <c r="C73" i="1"/>
  <c r="C86" i="1"/>
  <c r="E85" i="1"/>
  <c r="D85" i="1"/>
  <c r="C85" i="1"/>
  <c r="B86" i="1"/>
  <c r="B85" i="1"/>
  <c r="D64" i="1"/>
  <c r="D65" i="1"/>
  <c r="D66" i="1"/>
  <c r="C65" i="1"/>
  <c r="C64" i="1"/>
  <c r="C66" i="1"/>
  <c r="E66" i="1"/>
  <c r="E65" i="1"/>
  <c r="E64" i="1"/>
  <c r="B67" i="1"/>
  <c r="C67" i="1"/>
  <c r="D67" i="1"/>
  <c r="E67" i="1"/>
  <c r="F67" i="1"/>
  <c r="F66" i="1"/>
  <c r="F65" i="1"/>
  <c r="B66" i="1"/>
  <c r="B65" i="1"/>
  <c r="C23" i="1"/>
  <c r="D23" i="1"/>
  <c r="E23" i="1"/>
  <c r="F23" i="1"/>
  <c r="F25" i="1"/>
  <c r="F27" i="1"/>
  <c r="C28" i="1"/>
  <c r="D28" i="1"/>
  <c r="E28" i="1"/>
  <c r="F28" i="1"/>
  <c r="F29" i="1"/>
  <c r="C30" i="1"/>
  <c r="D30" i="1"/>
  <c r="E30" i="1"/>
  <c r="F30" i="1"/>
  <c r="F31" i="1"/>
  <c r="C32" i="1"/>
  <c r="D32" i="1"/>
  <c r="E32" i="1"/>
  <c r="F32" i="1"/>
  <c r="F33" i="1"/>
  <c r="C45" i="1"/>
  <c r="D45" i="1"/>
  <c r="E45" i="1"/>
  <c r="F45" i="1"/>
  <c r="B25" i="1"/>
  <c r="B27" i="1"/>
  <c r="B29" i="1"/>
  <c r="B31" i="1"/>
  <c r="B33" i="1"/>
  <c r="C25" i="1"/>
  <c r="C27" i="1"/>
  <c r="C29" i="1"/>
  <c r="C31" i="1"/>
  <c r="C33" i="1"/>
  <c r="D40" i="1"/>
  <c r="D25" i="1"/>
  <c r="D27" i="1"/>
  <c r="D29" i="1"/>
  <c r="D31" i="1"/>
  <c r="D33" i="1"/>
  <c r="E40" i="1"/>
  <c r="E25" i="1"/>
  <c r="E27" i="1"/>
  <c r="E29" i="1"/>
  <c r="E31" i="1"/>
  <c r="E33" i="1"/>
  <c r="F40" i="1"/>
  <c r="F80" i="1"/>
  <c r="F64" i="1"/>
  <c r="C62" i="6"/>
  <c r="C61" i="6"/>
  <c r="C60" i="6"/>
  <c r="C59" i="6"/>
  <c r="C58" i="6"/>
  <c r="B64" i="1"/>
  <c r="B62" i="6"/>
  <c r="B61" i="6"/>
  <c r="B60" i="6"/>
  <c r="B59" i="6"/>
  <c r="B58" i="6"/>
  <c r="B197" i="18"/>
  <c r="C26" i="18"/>
  <c r="D26" i="18"/>
  <c r="E26" i="18"/>
  <c r="E29" i="18"/>
  <c r="E30" i="18"/>
  <c r="E183" i="18"/>
  <c r="F140" i="18"/>
  <c r="B52" i="18"/>
  <c r="C52" i="18"/>
  <c r="D52" i="18"/>
  <c r="E52" i="18"/>
  <c r="E55" i="18"/>
  <c r="E62" i="18"/>
  <c r="E64" i="18"/>
  <c r="E184" i="18"/>
  <c r="F141" i="18"/>
  <c r="B146" i="18"/>
  <c r="B147" i="18"/>
  <c r="B180" i="18"/>
  <c r="B29" i="18"/>
  <c r="B30" i="18"/>
  <c r="B183" i="18"/>
  <c r="B55" i="18"/>
  <c r="B62" i="18"/>
  <c r="B64" i="18"/>
  <c r="B184" i="18"/>
  <c r="B79" i="18"/>
  <c r="B81" i="18"/>
  <c r="B83" i="18"/>
  <c r="B185" i="18"/>
  <c r="B186" i="18"/>
  <c r="B187" i="18"/>
  <c r="B189" i="18"/>
  <c r="B190" i="18"/>
  <c r="B193" i="18"/>
  <c r="C29" i="18"/>
  <c r="C30" i="18"/>
  <c r="C183" i="18"/>
  <c r="C55" i="18"/>
  <c r="C62" i="18"/>
  <c r="C64" i="18"/>
  <c r="C184" i="18"/>
  <c r="C98" i="18"/>
  <c r="C186" i="18"/>
  <c r="C114" i="18"/>
  <c r="C187" i="18"/>
  <c r="C140" i="18"/>
  <c r="C141" i="18"/>
  <c r="C142" i="18"/>
  <c r="C143" i="18"/>
  <c r="C144" i="18"/>
  <c r="C146" i="18"/>
  <c r="C147" i="18"/>
  <c r="C190" i="18"/>
  <c r="D29" i="18"/>
  <c r="D30" i="18"/>
  <c r="D183" i="18"/>
  <c r="D55" i="18"/>
  <c r="D62" i="18"/>
  <c r="D64" i="18"/>
  <c r="D184" i="18"/>
  <c r="D98" i="18"/>
  <c r="D186" i="18"/>
  <c r="D114" i="18"/>
  <c r="D187" i="18"/>
  <c r="D140" i="18"/>
  <c r="D141" i="18"/>
  <c r="D143" i="18"/>
  <c r="D144" i="18"/>
  <c r="D147" i="18"/>
  <c r="E98" i="18"/>
  <c r="E186" i="18"/>
  <c r="F143" i="18"/>
  <c r="E114" i="18"/>
  <c r="E187" i="18"/>
  <c r="F144" i="18"/>
  <c r="F158" i="18"/>
  <c r="F160" i="18"/>
  <c r="E140" i="18"/>
  <c r="E141" i="18"/>
  <c r="E143" i="18"/>
  <c r="E144" i="18"/>
  <c r="E158" i="18"/>
  <c r="E160" i="18"/>
  <c r="D158" i="18"/>
  <c r="D160" i="18"/>
  <c r="C158" i="18"/>
  <c r="C160" i="18"/>
  <c r="C164" i="18"/>
  <c r="C166" i="18"/>
  <c r="B152" i="18"/>
  <c r="B154" i="18"/>
  <c r="B158" i="18"/>
  <c r="B160" i="18"/>
  <c r="B164" i="18"/>
  <c r="B166" i="18"/>
  <c r="B168" i="18"/>
  <c r="F12" i="16"/>
  <c r="E12" i="16"/>
  <c r="D12" i="16"/>
  <c r="C12" i="16"/>
  <c r="B12" i="16"/>
  <c r="F105" i="1"/>
  <c r="D50" i="1"/>
  <c r="E50" i="1"/>
  <c r="F50" i="1"/>
  <c r="F109" i="1"/>
  <c r="F110" i="1"/>
  <c r="F95" i="1"/>
  <c r="F133" i="18"/>
  <c r="F26" i="18"/>
  <c r="F29" i="18"/>
  <c r="F30" i="18"/>
  <c r="F183" i="18"/>
  <c r="F52" i="18"/>
  <c r="F55" i="18"/>
  <c r="F62" i="18"/>
  <c r="F64" i="18"/>
  <c r="F184" i="18"/>
  <c r="F98" i="18"/>
  <c r="F186" i="18"/>
  <c r="F114" i="18"/>
  <c r="F187" i="18"/>
  <c r="F204" i="18"/>
  <c r="B219" i="18"/>
  <c r="C219" i="18"/>
  <c r="D219" i="18"/>
  <c r="E219" i="18"/>
  <c r="F219" i="18"/>
  <c r="F33" i="18"/>
  <c r="F57" i="18"/>
  <c r="F67" i="18"/>
  <c r="F101" i="18"/>
  <c r="F102" i="18"/>
  <c r="F117" i="18"/>
  <c r="F118" i="18"/>
  <c r="F196" i="18"/>
  <c r="F42" i="18"/>
  <c r="F41" i="18"/>
  <c r="F43" i="18"/>
  <c r="F38" i="18"/>
  <c r="F45" i="18"/>
  <c r="F72" i="18"/>
  <c r="F71" i="18"/>
  <c r="F73" i="18"/>
  <c r="F108" i="18"/>
  <c r="F124" i="18"/>
  <c r="F11" i="20"/>
  <c r="F28" i="20"/>
  <c r="E80" i="1"/>
  <c r="E105" i="1"/>
  <c r="E109" i="1"/>
  <c r="E110" i="1"/>
  <c r="E95" i="1"/>
  <c r="E133" i="18"/>
  <c r="E204" i="18"/>
  <c r="E33" i="18"/>
  <c r="E57" i="18"/>
  <c r="E67" i="18"/>
  <c r="E101" i="18"/>
  <c r="E102" i="18"/>
  <c r="E117" i="18"/>
  <c r="E118" i="18"/>
  <c r="E196" i="18"/>
  <c r="E42" i="18"/>
  <c r="E41" i="18"/>
  <c r="E43" i="18"/>
  <c r="E38" i="18"/>
  <c r="E45" i="18"/>
  <c r="E72" i="18"/>
  <c r="E71" i="18"/>
  <c r="E73" i="18"/>
  <c r="E108" i="18"/>
  <c r="E124" i="18"/>
  <c r="E11" i="20"/>
  <c r="E28" i="20"/>
  <c r="D80" i="1"/>
  <c r="D105" i="1"/>
  <c r="D109" i="1"/>
  <c r="D110" i="1"/>
  <c r="D95" i="1"/>
  <c r="D133" i="18"/>
  <c r="D204" i="18"/>
  <c r="D33" i="18"/>
  <c r="D57" i="18"/>
  <c r="D67" i="18"/>
  <c r="D101" i="18"/>
  <c r="D102" i="18"/>
  <c r="D117" i="18"/>
  <c r="D118" i="18"/>
  <c r="D196" i="18"/>
  <c r="D42" i="18"/>
  <c r="D41" i="18"/>
  <c r="D43" i="18"/>
  <c r="D38" i="18"/>
  <c r="D45" i="18"/>
  <c r="D72" i="18"/>
  <c r="D71" i="18"/>
  <c r="D73" i="18"/>
  <c r="D108" i="18"/>
  <c r="D124" i="18"/>
  <c r="D11" i="20"/>
  <c r="D28" i="20"/>
  <c r="C80" i="1"/>
  <c r="C105" i="1"/>
  <c r="C109" i="1"/>
  <c r="C110" i="1"/>
  <c r="C95" i="1"/>
  <c r="C133" i="18"/>
  <c r="C204" i="18"/>
  <c r="C33" i="18"/>
  <c r="C57" i="18"/>
  <c r="C67" i="18"/>
  <c r="C101" i="18"/>
  <c r="C102" i="18"/>
  <c r="C117" i="18"/>
  <c r="C118" i="18"/>
  <c r="C196" i="18"/>
  <c r="C42" i="18"/>
  <c r="C41" i="18"/>
  <c r="C43" i="18"/>
  <c r="C38" i="18"/>
  <c r="C45" i="18"/>
  <c r="C72" i="18"/>
  <c r="C71" i="18"/>
  <c r="C73" i="18"/>
  <c r="C108" i="18"/>
  <c r="C124" i="18"/>
  <c r="C11" i="20"/>
  <c r="C28" i="20"/>
  <c r="B80" i="1"/>
  <c r="B105" i="1"/>
  <c r="B109" i="1"/>
  <c r="B110" i="1"/>
  <c r="B95" i="1"/>
  <c r="B133" i="18"/>
  <c r="B204" i="18"/>
  <c r="B148" i="18"/>
  <c r="B33" i="18"/>
  <c r="B57" i="18"/>
  <c r="B67" i="18"/>
  <c r="B86" i="18"/>
  <c r="B101" i="18"/>
  <c r="B102" i="18"/>
  <c r="B117" i="18"/>
  <c r="B118" i="18"/>
  <c r="B196" i="18"/>
  <c r="B173" i="18"/>
  <c r="B172" i="18"/>
  <c r="B174" i="18"/>
  <c r="B42" i="18"/>
  <c r="B41" i="18"/>
  <c r="B43" i="18"/>
  <c r="B38" i="18"/>
  <c r="B45" i="18"/>
  <c r="B72" i="18"/>
  <c r="B71" i="18"/>
  <c r="B73" i="18"/>
  <c r="B91" i="18"/>
  <c r="B90" i="18"/>
  <c r="B92" i="18"/>
  <c r="B108" i="18"/>
  <c r="B124" i="18"/>
  <c r="B11" i="20"/>
  <c r="B28" i="20"/>
  <c r="C176" i="18"/>
  <c r="B8" i="1"/>
  <c r="B9" i="1"/>
  <c r="B10" i="1"/>
  <c r="B11" i="1"/>
  <c r="B14" i="1"/>
  <c r="B15" i="1"/>
  <c r="B16" i="1"/>
  <c r="B17" i="1"/>
  <c r="B19" i="1"/>
  <c r="C8" i="1"/>
  <c r="C9" i="1"/>
  <c r="C10" i="1"/>
  <c r="C11" i="1"/>
  <c r="C14" i="1"/>
  <c r="C15" i="1"/>
  <c r="C16" i="1"/>
  <c r="C17" i="1"/>
  <c r="C19" i="1"/>
  <c r="D8" i="1"/>
  <c r="D9" i="1"/>
  <c r="D10" i="1"/>
  <c r="D11" i="1"/>
  <c r="D14" i="1"/>
  <c r="D15" i="1"/>
  <c r="D16" i="1"/>
  <c r="D17" i="1"/>
  <c r="D19" i="1"/>
  <c r="E8" i="1"/>
  <c r="E9" i="1"/>
  <c r="E10" i="1"/>
  <c r="E11" i="1"/>
  <c r="E14" i="1"/>
  <c r="E15" i="1"/>
  <c r="E16" i="1"/>
  <c r="E17" i="1"/>
  <c r="E19" i="1"/>
  <c r="F8" i="1"/>
  <c r="F9" i="1"/>
  <c r="F10" i="1"/>
  <c r="F11" i="1"/>
  <c r="F14" i="1"/>
  <c r="F15" i="1"/>
  <c r="F16" i="1"/>
  <c r="F17" i="1"/>
  <c r="F19" i="1"/>
  <c r="C55" i="6"/>
  <c r="C54" i="6"/>
  <c r="C53" i="6"/>
  <c r="C52" i="6"/>
  <c r="C51" i="6"/>
  <c r="B55" i="6"/>
  <c r="B54" i="6"/>
  <c r="B53" i="6"/>
  <c r="B52" i="6"/>
  <c r="B51" i="6"/>
  <c r="D48" i="6"/>
  <c r="D47" i="6"/>
  <c r="D46" i="6"/>
  <c r="D45" i="6"/>
  <c r="D44" i="6"/>
  <c r="B48" i="6"/>
  <c r="C48" i="6"/>
  <c r="B47" i="6"/>
  <c r="C47" i="6"/>
  <c r="B46" i="6"/>
  <c r="C46" i="6"/>
  <c r="B45" i="6"/>
  <c r="C45" i="6"/>
  <c r="B44" i="6"/>
  <c r="C44" i="6"/>
  <c r="B6" i="6"/>
  <c r="B7" i="6"/>
  <c r="B8" i="6"/>
  <c r="C9" i="6"/>
  <c r="B30" i="6"/>
  <c r="B18" i="6"/>
  <c r="B12" i="6"/>
  <c r="B13" i="6"/>
  <c r="B14" i="6"/>
  <c r="B16" i="6"/>
  <c r="B17" i="6"/>
  <c r="B24" i="6"/>
  <c r="B25" i="6"/>
  <c r="B26" i="6"/>
  <c r="C27" i="6"/>
  <c r="B32" i="6"/>
  <c r="D26" i="6"/>
  <c r="D25" i="6"/>
  <c r="D24" i="6"/>
  <c r="F25" i="20"/>
  <c r="E25" i="20"/>
  <c r="D25" i="20"/>
  <c r="C25" i="20"/>
  <c r="A4" i="16"/>
  <c r="A4" i="17"/>
  <c r="A4" i="18"/>
  <c r="B8" i="16"/>
  <c r="B10" i="16"/>
  <c r="B11" i="16"/>
  <c r="B25" i="20"/>
  <c r="F47" i="18"/>
  <c r="F8" i="18"/>
  <c r="F9" i="18"/>
  <c r="F75" i="18"/>
  <c r="F10" i="18"/>
  <c r="F110" i="18"/>
  <c r="F12" i="18"/>
  <c r="F126" i="18"/>
  <c r="F13" i="18"/>
  <c r="F14" i="18"/>
  <c r="E47" i="18"/>
  <c r="E8" i="18"/>
  <c r="E9" i="18"/>
  <c r="E75" i="18"/>
  <c r="E10" i="18"/>
  <c r="E110" i="18"/>
  <c r="E12" i="18"/>
  <c r="E126" i="18"/>
  <c r="E13" i="18"/>
  <c r="E14" i="18"/>
  <c r="D47" i="18"/>
  <c r="D8" i="18"/>
  <c r="D9" i="18"/>
  <c r="D75" i="18"/>
  <c r="D10" i="18"/>
  <c r="D110" i="18"/>
  <c r="D12" i="18"/>
  <c r="D126" i="18"/>
  <c r="D13" i="18"/>
  <c r="D14" i="18"/>
  <c r="C47" i="18"/>
  <c r="C8" i="18"/>
  <c r="C9" i="18"/>
  <c r="C75" i="18"/>
  <c r="C10" i="18"/>
  <c r="C110" i="18"/>
  <c r="C12" i="18"/>
  <c r="C126" i="18"/>
  <c r="C13" i="18"/>
  <c r="C14" i="18"/>
  <c r="C15" i="18"/>
  <c r="B47" i="18"/>
  <c r="B8" i="18"/>
  <c r="B9" i="18"/>
  <c r="B75" i="18"/>
  <c r="B10" i="18"/>
  <c r="B94" i="18"/>
  <c r="B11" i="18"/>
  <c r="B110" i="18"/>
  <c r="B12" i="18"/>
  <c r="B126" i="18"/>
  <c r="B13" i="18"/>
  <c r="B14" i="18"/>
  <c r="B87" i="1"/>
  <c r="A4" i="20"/>
  <c r="F8" i="16"/>
  <c r="F10" i="16"/>
  <c r="F11" i="16"/>
  <c r="E8" i="16"/>
  <c r="E10" i="16"/>
  <c r="E11" i="16"/>
  <c r="D8" i="16"/>
  <c r="D10" i="16"/>
  <c r="D11" i="16"/>
  <c r="C8" i="16"/>
  <c r="C10" i="16"/>
  <c r="C11" i="16"/>
  <c r="A4" i="1"/>
  <c r="F9" i="17"/>
  <c r="E9" i="17"/>
  <c r="D9" i="17"/>
  <c r="C9" i="17"/>
  <c r="B9" i="17"/>
  <c r="F65" i="18"/>
  <c r="E65" i="18"/>
  <c r="D65" i="18"/>
  <c r="C65" i="18"/>
  <c r="B65" i="18"/>
  <c r="G62" i="18"/>
  <c r="F84" i="18"/>
  <c r="E84" i="18"/>
  <c r="D84" i="18"/>
  <c r="C84" i="18"/>
  <c r="B84" i="18"/>
  <c r="F31" i="18"/>
  <c r="E31" i="18"/>
  <c r="D31" i="18"/>
  <c r="C31" i="18"/>
  <c r="B31" i="18"/>
  <c r="F88" i="1"/>
  <c r="E88" i="1"/>
  <c r="D88" i="1"/>
  <c r="C88" i="1"/>
  <c r="B88" i="1"/>
  <c r="F81" i="1"/>
  <c r="E81" i="1"/>
  <c r="D81" i="1"/>
  <c r="C81" i="1"/>
  <c r="B81" i="1"/>
  <c r="F60" i="1"/>
  <c r="F61" i="1"/>
  <c r="E60" i="1"/>
  <c r="E61" i="1"/>
  <c r="D60" i="1"/>
  <c r="D61" i="1"/>
  <c r="C60" i="1"/>
  <c r="C61" i="1"/>
  <c r="B60" i="1"/>
  <c r="B61" i="1"/>
  <c r="F115" i="1"/>
  <c r="E115" i="1"/>
  <c r="D115" i="1"/>
  <c r="C115" i="1"/>
  <c r="B115" i="1"/>
  <c r="B36" i="6"/>
  <c r="B37" i="6"/>
  <c r="B38" i="6"/>
  <c r="B39" i="6"/>
  <c r="C40" i="6"/>
  <c r="D39" i="6"/>
  <c r="D38" i="6"/>
  <c r="D37" i="6"/>
  <c r="D36" i="6"/>
  <c r="G15" i="2"/>
  <c r="G16" i="2"/>
  <c r="G18" i="2"/>
  <c r="D8" i="6"/>
  <c r="D6" i="6"/>
  <c r="D7" i="6"/>
  <c r="F3" i="6"/>
  <c r="E3" i="6"/>
  <c r="D3" i="6"/>
  <c r="C3" i="6"/>
  <c r="B3" i="6"/>
  <c r="F2" i="6"/>
  <c r="E2" i="6"/>
  <c r="D2" i="6"/>
  <c r="C2" i="6"/>
  <c r="B2" i="6"/>
  <c r="B176" i="18"/>
  <c r="B15" i="18"/>
  <c r="B16" i="18"/>
  <c r="B17" i="18"/>
  <c r="B20" i="18"/>
  <c r="B22" i="18"/>
  <c r="C94" i="18"/>
  <c r="C11" i="18"/>
  <c r="C16" i="18"/>
  <c r="C17" i="18"/>
  <c r="C20" i="18"/>
  <c r="C22" i="18"/>
  <c r="D94" i="18"/>
  <c r="D11" i="18"/>
  <c r="D176" i="18"/>
  <c r="D15" i="18"/>
  <c r="D16" i="18"/>
  <c r="D17" i="18"/>
  <c r="D20" i="18"/>
  <c r="D22" i="18"/>
  <c r="E94" i="18"/>
  <c r="E11" i="18"/>
  <c r="E176" i="18"/>
  <c r="E15" i="18"/>
  <c r="E16" i="18"/>
  <c r="E17" i="18"/>
  <c r="E20" i="18"/>
  <c r="E22" i="18"/>
  <c r="F94" i="18"/>
  <c r="F11" i="18"/>
  <c r="F176" i="18"/>
  <c r="F15" i="18"/>
  <c r="F16" i="18"/>
  <c r="F17" i="18"/>
  <c r="F20" i="18"/>
  <c r="F22" i="18"/>
  <c r="B17" i="20"/>
  <c r="C17" i="20"/>
  <c r="D17" i="20"/>
  <c r="E17" i="20"/>
  <c r="F17" i="20"/>
  <c r="B30" i="20"/>
  <c r="C30" i="20"/>
  <c r="D30" i="20"/>
  <c r="E30" i="20"/>
  <c r="F30" i="20"/>
  <c r="B15" i="6"/>
  <c r="B19" i="6"/>
  <c r="B20" i="6"/>
  <c r="C21" i="6"/>
  <c r="D12" i="6"/>
  <c r="D13" i="6"/>
  <c r="D14" i="6"/>
  <c r="D15" i="6"/>
  <c r="D16" i="6"/>
  <c r="D17" i="6"/>
  <c r="D18" i="6"/>
  <c r="D19" i="6"/>
  <c r="D20" i="6"/>
  <c r="B31" i="6"/>
  <c r="C33" i="6"/>
  <c r="D30" i="6"/>
  <c r="D31" i="6"/>
  <c r="D32" i="6"/>
  <c r="B5" i="27"/>
  <c r="C5" i="27"/>
  <c r="D5" i="27"/>
  <c r="E5" i="27"/>
</calcChain>
</file>

<file path=xl/sharedStrings.xml><?xml version="1.0" encoding="utf-8"?>
<sst xmlns="http://schemas.openxmlformats.org/spreadsheetml/2006/main" count="433" uniqueCount="304">
  <si>
    <t>Implied Click-thru Rate</t>
    <phoneticPr fontId="6" type="noConversion"/>
  </si>
  <si>
    <t>Estimated SERP Impressions</t>
    <phoneticPr fontId="6" type="noConversion"/>
  </si>
  <si>
    <t>Direct to Search Ratio</t>
    <phoneticPr fontId="6" type="noConversion"/>
  </si>
  <si>
    <t>Long-Tail Factor</t>
    <phoneticPr fontId="6" type="noConversion"/>
  </si>
  <si>
    <t>Referrals to Search Ratio</t>
  </si>
  <si>
    <t>Beginning Subscribers</t>
  </si>
  <si>
    <t>Sponsorship Revenue</t>
    <phoneticPr fontId="8" type="noConversion"/>
  </si>
  <si>
    <t>Operating Costs</t>
    <phoneticPr fontId="6" type="noConversion"/>
  </si>
  <si>
    <t>Total Expenses</t>
    <phoneticPr fontId="6" type="noConversion"/>
  </si>
  <si>
    <t>Visits by Source</t>
    <phoneticPr fontId="8" type="noConversion"/>
  </si>
  <si>
    <t>Visits from Search</t>
  </si>
  <si>
    <t>Total Revenue</t>
    <phoneticPr fontId="6" type="noConversion"/>
  </si>
  <si>
    <t>Ending Subscribers</t>
    <phoneticPr fontId="6" type="noConversion"/>
  </si>
  <si>
    <t>Email Sent per Year</t>
    <phoneticPr fontId="6" type="noConversion"/>
  </si>
  <si>
    <t>Google Visibility Index (GVI)</t>
    <phoneticPr fontId="6" type="noConversion"/>
  </si>
  <si>
    <t>Year 2</t>
  </si>
  <si>
    <t>Year 3</t>
  </si>
  <si>
    <t>Year 4</t>
  </si>
  <si>
    <t>Year 5</t>
  </si>
  <si>
    <t>Website to Email Conversion Rate (ECR)</t>
    <phoneticPr fontId="6" type="noConversion"/>
  </si>
  <si>
    <t>New Email Subscribers from Website</t>
    <phoneticPr fontId="6" type="noConversion"/>
  </si>
  <si>
    <t>Retainer Rate</t>
  </si>
  <si>
    <t>Base Fee</t>
    <phoneticPr fontId="6"/>
  </si>
  <si>
    <t>Cost per GB</t>
    <phoneticPr fontId="6"/>
  </si>
  <si>
    <t>Email Broadcasting</t>
  </si>
  <si>
    <t>Visits from Search</t>
    <phoneticPr fontId="6" type="noConversion"/>
  </si>
  <si>
    <t>Visits from Referring Websites</t>
    <phoneticPr fontId="6" type="noConversion"/>
  </si>
  <si>
    <t>Visits from Direct</t>
    <phoneticPr fontId="6" type="noConversion"/>
  </si>
  <si>
    <t>Annual Searches from GVR</t>
    <phoneticPr fontId="6" type="noConversion"/>
  </si>
  <si>
    <t>Estimated Total Searches</t>
    <phoneticPr fontId="6" type="noConversion"/>
  </si>
  <si>
    <t>Revenue per Subscriber per Year</t>
    <phoneticPr fontId="6" type="noConversion"/>
  </si>
  <si>
    <t>Revenue per M Emails Sent</t>
    <phoneticPr fontId="6" type="noConversion"/>
  </si>
  <si>
    <t>Revenue per M Page Views</t>
    <phoneticPr fontId="6" type="noConversion"/>
  </si>
  <si>
    <t>Total Operating Costs</t>
    <phoneticPr fontId="6" type="noConversion"/>
  </si>
  <si>
    <t>Email Subscriber Retention Rate</t>
    <phoneticPr fontId="6" type="noConversion"/>
  </si>
  <si>
    <t>Average Email Subscribers</t>
    <phoneticPr fontId="6" type="noConversion"/>
  </si>
  <si>
    <t>Expenses</t>
    <phoneticPr fontId="6" type="noConversion"/>
  </si>
  <si>
    <t>Weekly Contact Frequency</t>
    <phoneticPr fontId="6" type="noConversion"/>
  </si>
  <si>
    <t>Email Revenue</t>
    <phoneticPr fontId="6" type="noConversion"/>
  </si>
  <si>
    <t>Website Revenue</t>
    <phoneticPr fontId="6" type="noConversion"/>
  </si>
  <si>
    <t>Email Revenue</t>
    <phoneticPr fontId="6" type="noConversion"/>
  </si>
  <si>
    <t>Visits from Direct</t>
  </si>
  <si>
    <t>Total New Subscribers</t>
    <phoneticPr fontId="6" type="noConversion"/>
  </si>
  <si>
    <t>Total Revenue</t>
  </si>
  <si>
    <t>Year 1</t>
    <phoneticPr fontId="6" type="noConversion"/>
  </si>
  <si>
    <t>P&amp;L before EBITDA</t>
    <phoneticPr fontId="8" type="noConversion"/>
  </si>
  <si>
    <t>Website Revenue</t>
    <phoneticPr fontId="6" type="noConversion"/>
  </si>
  <si>
    <t>Email Revenue</t>
    <phoneticPr fontId="6" type="noConversion"/>
  </si>
  <si>
    <t>Page Views per Visit</t>
    <phoneticPr fontId="6" type="noConversion"/>
  </si>
  <si>
    <t>Website Revenue</t>
    <phoneticPr fontId="6" type="noConversion"/>
  </si>
  <si>
    <t>EMSA Calculator</t>
  </si>
  <si>
    <t>More than</t>
  </si>
  <si>
    <t>Up to</t>
  </si>
  <si>
    <t>Mequoda Client EMSA Rates</t>
  </si>
  <si>
    <t xml:space="preserve"> Email Volume</t>
  </si>
  <si>
    <t>Rate</t>
  </si>
  <si>
    <t>Emails Sent per Month</t>
  </si>
  <si>
    <t>Broadcast CPM</t>
  </si>
  <si>
    <t>Broadccast Cost</t>
  </si>
  <si>
    <t>Unlimited EMSA Support</t>
  </si>
  <si>
    <t>Total Monthly EMSA Billings</t>
  </si>
  <si>
    <t>Data Center Management Fee</t>
  </si>
  <si>
    <t>Apache Hosting</t>
  </si>
  <si>
    <t>Cloud Hosting</t>
  </si>
  <si>
    <t>Consulting</t>
  </si>
  <si>
    <t>System Support</t>
  </si>
  <si>
    <t>Total Page Views</t>
  </si>
  <si>
    <r>
      <rPr>
        <b/>
        <sz val="10"/>
        <rFont val="Verdana"/>
      </rPr>
      <t>External New</t>
    </r>
    <r>
      <rPr>
        <b/>
        <sz val="10"/>
        <rFont val="Verdana"/>
      </rPr>
      <t xml:space="preserve"> Visits per Year</t>
    </r>
  </si>
  <si>
    <t>Average Monthly External Visits</t>
  </si>
  <si>
    <r>
      <t xml:space="preserve">Average Monthly </t>
    </r>
    <r>
      <rPr>
        <b/>
        <sz val="10"/>
        <rFont val="Verdana"/>
      </rPr>
      <t xml:space="preserve">External </t>
    </r>
    <r>
      <rPr>
        <b/>
        <sz val="10"/>
        <rFont val="Verdana"/>
      </rPr>
      <t>Visitors</t>
    </r>
  </si>
  <si>
    <t>External Traffic Sources</t>
  </si>
  <si>
    <t>Email Subscriber Activity</t>
  </si>
  <si>
    <t>Traffic Summary</t>
  </si>
  <si>
    <t>Visits from Email</t>
  </si>
  <si>
    <t>Total Visits per Year</t>
  </si>
  <si>
    <t>Email Click-thru-Rate (CTR)</t>
  </si>
  <si>
    <r>
      <rPr>
        <sz val="10"/>
        <rFont val="Verdana"/>
      </rPr>
      <t>External New Visits</t>
    </r>
  </si>
  <si>
    <t>New Compiled Subscribers</t>
  </si>
  <si>
    <t>New Email Subscribers from CoReg</t>
  </si>
  <si>
    <t>Sponsorship Revenue</t>
  </si>
  <si>
    <t xml:space="preserve">    Number of Sponsors</t>
  </si>
  <si>
    <t xml:space="preserve">    Rate per Sponsorship per year</t>
  </si>
  <si>
    <t xml:space="preserve">    Sponsorship Revenue</t>
  </si>
  <si>
    <t xml:space="preserve">    Per Email Subscriber</t>
  </si>
  <si>
    <t>Content Development</t>
    <phoneticPr fontId="7" type="noConversion"/>
  </si>
  <si>
    <t>New</t>
    <phoneticPr fontId="7" type="noConversion"/>
  </si>
  <si>
    <t>Update</t>
    <phoneticPr fontId="7" type="noConversion"/>
  </si>
  <si>
    <t># of Books (created or updated each year)</t>
    <phoneticPr fontId="7" type="noConversion"/>
  </si>
  <si>
    <t>Cost per Book</t>
    <phoneticPr fontId="7" type="noConversion"/>
  </si>
  <si>
    <t>Total Content Development Costs</t>
    <phoneticPr fontId="7" type="noConversion"/>
  </si>
  <si>
    <t>Cost of Goods Sold</t>
    <phoneticPr fontId="7" type="noConversion"/>
  </si>
  <si>
    <t>Cost of Goods for Subscriptions (0%)</t>
    <phoneticPr fontId="7" type="noConversion"/>
  </si>
  <si>
    <t>Cost of Goods for Books/DVDs (5%)</t>
    <phoneticPr fontId="7" type="noConversion"/>
  </si>
  <si>
    <t>Credit Card Processing (3%)</t>
    <phoneticPr fontId="7" type="noConversion"/>
  </si>
  <si>
    <t>Total Cost of Goods Sold</t>
    <phoneticPr fontId="7" type="noConversion"/>
  </si>
  <si>
    <t xml:space="preserve">    Amazon</t>
  </si>
  <si>
    <t xml:space="preserve">        Unit Price</t>
  </si>
  <si>
    <t xml:space="preserve">        Remit Rate</t>
  </si>
  <si>
    <t xml:space="preserve">    Barnes &amp; Noble</t>
  </si>
  <si>
    <t xml:space="preserve">    Apple</t>
  </si>
  <si>
    <t xml:space="preserve">        Net Revenue - Amazon</t>
  </si>
  <si>
    <t xml:space="preserve">        Net Revenue - Barnes &amp; Noble</t>
  </si>
  <si>
    <t xml:space="preserve">        Net Revenue - Apple</t>
  </si>
  <si>
    <t>Direct Mail</t>
  </si>
  <si>
    <t xml:space="preserve">    Quantity Mailed</t>
  </si>
  <si>
    <t xml:space="preserve">    % Gross Response</t>
  </si>
  <si>
    <t xml:space="preserve">    % Pay-up</t>
  </si>
  <si>
    <t xml:space="preserve">    Gross Orders</t>
  </si>
  <si>
    <t xml:space="preserve">    Net Orders</t>
  </si>
  <si>
    <t xml:space="preserve">    % Net Response</t>
  </si>
  <si>
    <t xml:space="preserve">    Price per Subscription</t>
  </si>
  <si>
    <t xml:space="preserve">    Total Revenue from Direct Mail</t>
  </si>
  <si>
    <t xml:space="preserve">    Direct DM Costs</t>
  </si>
  <si>
    <t xml:space="preserve">      Direct Mail Cost Per M Mailed</t>
  </si>
  <si>
    <t xml:space="preserve">      Total Direct Mail Costs</t>
  </si>
  <si>
    <t xml:space="preserve">    Billing Costs</t>
  </si>
  <si>
    <t xml:space="preserve">      Total Billing Costs</t>
  </si>
  <si>
    <t xml:space="preserve">      Cost for Credit Card Orders</t>
  </si>
  <si>
    <t xml:space="preserve">      Cost for BillMe Orders</t>
  </si>
  <si>
    <t xml:space="preserve">    Total Expenses for Direct Mail</t>
  </si>
  <si>
    <t xml:space="preserve">    Total Direct Mail Net Contribution</t>
  </si>
  <si>
    <t>Newsstand</t>
  </si>
  <si>
    <t xml:space="preserve">    % Sale</t>
  </si>
  <si>
    <t xml:space="preserve">    Total Copies Sold</t>
  </si>
  <si>
    <t xml:space="preserve">    % Remit</t>
  </si>
  <si>
    <t xml:space="preserve">   Total Revenue</t>
  </si>
  <si>
    <t xml:space="preserve">   Issues per year</t>
  </si>
  <si>
    <t xml:space="preserve">    Price Per Copy</t>
  </si>
  <si>
    <t xml:space="preserve">    Total Revenue from NS Inserts</t>
  </si>
  <si>
    <t xml:space="preserve">    Total Newsstand Net Contribution</t>
  </si>
  <si>
    <t xml:space="preserve">    Conversion Rate</t>
  </si>
  <si>
    <t>Subscription Inserts</t>
  </si>
  <si>
    <t xml:space="preserve">    Total Subscription Copies</t>
  </si>
  <si>
    <t xml:space="preserve">    Total Revenue from Sub Inserts</t>
  </si>
  <si>
    <t xml:space="preserve">    Total Sub Insert Net Contribution</t>
  </si>
  <si>
    <t>Low-Remit Agents</t>
  </si>
  <si>
    <t xml:space="preserve">    Orders per Year</t>
  </si>
  <si>
    <t xml:space="preserve">    Total Low-Remit Net Contribution</t>
  </si>
  <si>
    <t>High-Remit Agents</t>
  </si>
  <si>
    <t xml:space="preserve">    Direct Mail</t>
  </si>
  <si>
    <t xml:space="preserve">    Newsstand Inserts</t>
  </si>
  <si>
    <t xml:space="preserve">    Subscription Inserts</t>
  </si>
  <si>
    <t xml:space="preserve">    Current Expire Quantity</t>
  </si>
  <si>
    <t xml:space="preserve">    Newsstand</t>
  </si>
  <si>
    <t xml:space="preserve">    Low-Remit Agents</t>
  </si>
  <si>
    <t xml:space="preserve">    High-Remit Agents</t>
  </si>
  <si>
    <t>Renewals</t>
  </si>
  <si>
    <t>Print Order</t>
  </si>
  <si>
    <t xml:space="preserve">    Conversions</t>
  </si>
  <si>
    <t xml:space="preserve">    Renewals</t>
  </si>
  <si>
    <t xml:space="preserve">    Beginning Balance</t>
  </si>
  <si>
    <t xml:space="preserve">    Starts</t>
  </si>
  <si>
    <t xml:space="preserve">    Expires</t>
  </si>
  <si>
    <t xml:space="preserve">    Ending Balance</t>
  </si>
  <si>
    <t xml:space="preserve">    Total Starts</t>
  </si>
  <si>
    <t xml:space="preserve">    Price Per Subscription Unit</t>
  </si>
  <si>
    <t xml:space="preserve">    Draw</t>
  </si>
  <si>
    <t xml:space="preserve">    Remit per Subscription Unit</t>
  </si>
  <si>
    <t xml:space="preserve">    Subscription Revenue</t>
  </si>
  <si>
    <t>Mequoda Digital Strategy Model 5.0 Beta</t>
  </si>
  <si>
    <t xml:space="preserve">    Community Orders</t>
  </si>
  <si>
    <t xml:space="preserve">        Copies Sold</t>
  </si>
  <si>
    <t>Advertising</t>
  </si>
  <si>
    <t>Summary</t>
  </si>
  <si>
    <t>Average Circulation</t>
  </si>
  <si>
    <t xml:space="preserve">   Legacy Newsstand</t>
  </si>
  <si>
    <t xml:space="preserve">   Digital Newsstand</t>
  </si>
  <si>
    <t xml:space="preserve">   Total</t>
  </si>
  <si>
    <t xml:space="preserve">    Average Rate per Page</t>
  </si>
  <si>
    <t xml:space="preserve">    Average CPM</t>
  </si>
  <si>
    <t xml:space="preserve">    Pages Sold</t>
  </si>
  <si>
    <t>System Hosting Pricing</t>
  </si>
  <si>
    <t>Magazine</t>
  </si>
  <si>
    <t>Online</t>
  </si>
  <si>
    <t>Digital Retail</t>
  </si>
  <si>
    <t>Overhead</t>
  </si>
  <si>
    <t xml:space="preserve">    Total HeadCount (FTEs)</t>
  </si>
  <si>
    <t xml:space="preserve">    Average Salary</t>
  </si>
  <si>
    <t xml:space="preserve">    Direct People Costs</t>
  </si>
  <si>
    <t xml:space="preserve">    Overhead Factor</t>
  </si>
  <si>
    <t xml:space="preserve">    People Support Costs</t>
  </si>
  <si>
    <t xml:space="preserve">    Total Overhead</t>
  </si>
  <si>
    <t>Newsstand Insert Cards</t>
  </si>
  <si>
    <t xml:space="preserve">  Expenses</t>
  </si>
  <si>
    <t>Net Contribution from Online</t>
  </si>
  <si>
    <r>
      <t>Community Orders</t>
    </r>
    <r>
      <rPr>
        <b/>
        <sz val="8"/>
        <rFont val="Verdana"/>
      </rPr>
      <t xml:space="preserve"> (from Online)</t>
    </r>
  </si>
  <si>
    <t>Total Print Order</t>
  </si>
  <si>
    <t>Production Costs</t>
  </si>
  <si>
    <t xml:space="preserve">    Printing</t>
  </si>
  <si>
    <t xml:space="preserve">    Postage</t>
  </si>
  <si>
    <t xml:space="preserve">    Fulfillment</t>
  </si>
  <si>
    <t xml:space="preserve">    Total Production Costs Per Sub</t>
  </si>
  <si>
    <t xml:space="preserve">        Direct Mail</t>
  </si>
  <si>
    <t xml:space="preserve">        Newsstand</t>
  </si>
  <si>
    <t xml:space="preserve">        Newsstand Inserts</t>
  </si>
  <si>
    <t xml:space="preserve">        Subscription Inserts</t>
  </si>
  <si>
    <t xml:space="preserve">        Low-Remit Agents</t>
  </si>
  <si>
    <t xml:space="preserve">        High-Remit Agents</t>
  </si>
  <si>
    <t xml:space="preserve">        Community</t>
  </si>
  <si>
    <t xml:space="preserve">    Net Contribution</t>
  </si>
  <si>
    <t xml:space="preserve">        Advertising</t>
  </si>
  <si>
    <t xml:space="preserve">        Total Net Contribution</t>
  </si>
  <si>
    <t xml:space="preserve">        Printing, Postage, Fulfillment</t>
  </si>
  <si>
    <t xml:space="preserve">    Total Magazine Net Contribution</t>
  </si>
  <si>
    <t xml:space="preserve">    Total Advertising Revenue</t>
  </si>
  <si>
    <t>Executive Summary</t>
  </si>
  <si>
    <t xml:space="preserve">  Revenues</t>
  </si>
  <si>
    <t xml:space="preserve">    Online</t>
  </si>
  <si>
    <t xml:space="preserve">    Magazine</t>
  </si>
  <si>
    <t xml:space="preserve">    Digital Retail</t>
  </si>
  <si>
    <t xml:space="preserve">    Total Revenue</t>
  </si>
  <si>
    <t xml:space="preserve">    Content Development Costs</t>
  </si>
  <si>
    <t xml:space="preserve">    Cost of Goods Sold</t>
  </si>
  <si>
    <t xml:space="preserve">    Operating Costs</t>
  </si>
  <si>
    <t xml:space="preserve">    Total Expenses</t>
  </si>
  <si>
    <t xml:space="preserve">  Profit/Loss before EBITDA</t>
  </si>
  <si>
    <t xml:space="preserve">  Margin</t>
  </si>
  <si>
    <t xml:space="preserve">  Cum P/L before EBITDA</t>
  </si>
  <si>
    <t xml:space="preserve">    Overhead</t>
  </si>
  <si>
    <t xml:space="preserve">  Net Contribution</t>
  </si>
  <si>
    <t xml:space="preserve">    Total Net Contribution</t>
  </si>
  <si>
    <t xml:space="preserve">  Direct Expenses</t>
  </si>
  <si>
    <t xml:space="preserve">    Other Expenses</t>
  </si>
  <si>
    <t>Newsstand Inserts</t>
  </si>
  <si>
    <t>Community</t>
  </si>
  <si>
    <t>Direct Retail</t>
  </si>
  <si>
    <t>Apple</t>
  </si>
  <si>
    <t>Amazon</t>
  </si>
  <si>
    <t>Barnes &amp; Noble</t>
  </si>
  <si>
    <t>Audience Growth</t>
  </si>
  <si>
    <t>Year 1</t>
  </si>
  <si>
    <t>Revenue Growth</t>
  </si>
  <si>
    <t>User Revenue</t>
  </si>
  <si>
    <t>Sponsor Revenue</t>
  </si>
  <si>
    <t>Terminal Value</t>
  </si>
  <si>
    <t>8x</t>
  </si>
  <si>
    <t>10x</t>
  </si>
  <si>
    <t>12x</t>
  </si>
  <si>
    <t>Total Company EBITDA</t>
  </si>
  <si>
    <t>Magazine Circ Growth</t>
  </si>
  <si>
    <t xml:space="preserve">  Revenue</t>
  </si>
  <si>
    <t xml:space="preserve">    Website Revenue</t>
  </si>
  <si>
    <t xml:space="preserve">    Email Revenue</t>
  </si>
  <si>
    <t xml:space="preserve">  Online Net Contribution</t>
  </si>
  <si>
    <t xml:space="preserve">  Total Retail Revenue</t>
  </si>
  <si>
    <t xml:space="preserve">  Copies Sold</t>
  </si>
  <si>
    <t xml:space="preserve">  Average Copies Sold per Issue</t>
  </si>
  <si>
    <t xml:space="preserve">      Cost for Renewal Orders</t>
  </si>
  <si>
    <t xml:space="preserve">    Bad Debt Copies</t>
  </si>
  <si>
    <t xml:space="preserve">    Direct Conversion Rate</t>
  </si>
  <si>
    <t xml:space="preserve">    Agent Conversion Rate</t>
  </si>
  <si>
    <t xml:space="preserve">    Renewal Rate</t>
  </si>
  <si>
    <t>Direct Conversions</t>
  </si>
  <si>
    <t xml:space="preserve">    Direct Conversion Orders</t>
  </si>
  <si>
    <t xml:space="preserve">    Direct Conversion Revenue</t>
  </si>
  <si>
    <t xml:space="preserve">   Direct Subscription Copies</t>
  </si>
  <si>
    <t xml:space="preserve">   Direct Subs</t>
  </si>
  <si>
    <t>Conversions &amp; Renewals</t>
  </si>
  <si>
    <t xml:space="preserve">    Cost per FTE</t>
  </si>
  <si>
    <t>Cost of Goods for Events (0%)</t>
  </si>
  <si>
    <t>Expires Available</t>
  </si>
  <si>
    <t>Agent Conversions</t>
  </si>
  <si>
    <t xml:space="preserve">    Agent Conversion Orders</t>
  </si>
  <si>
    <t xml:space="preserve">    Agent Conversion Revenue</t>
  </si>
  <si>
    <t xml:space="preserve">    Renewal Orders</t>
  </si>
  <si>
    <t xml:space="preserve">    Renewal Revenue</t>
  </si>
  <si>
    <t xml:space="preserve">    Total Conv &amp; Ren'l Revenue</t>
  </si>
  <si>
    <t xml:space="preserve">    Total Conv &amp; Ren'l Net Contribution</t>
  </si>
  <si>
    <t>Magazine Revenue</t>
  </si>
  <si>
    <t>Online Revenue</t>
  </si>
  <si>
    <t>Direct Retail Revenue</t>
  </si>
  <si>
    <t>Visits from Referrals</t>
  </si>
  <si>
    <t>Visits</t>
  </si>
  <si>
    <t>Visitors</t>
  </si>
  <si>
    <t>Green Garden Press</t>
  </si>
  <si>
    <t>Online Product Mix</t>
  </si>
  <si>
    <t>Magazines</t>
  </si>
  <si>
    <t>Books &amp; Videos</t>
  </si>
  <si>
    <t>Events</t>
  </si>
  <si>
    <t>Sponsorships</t>
  </si>
  <si>
    <t xml:space="preserve">     Sub Revenue/M Page Views</t>
  </si>
  <si>
    <t xml:space="preserve">     Event Revenue/M Page Views</t>
  </si>
  <si>
    <t xml:space="preserve">     Books &amp; Videos Revenue/M Page Views</t>
  </si>
  <si>
    <t xml:space="preserve">  Books &amp; Videos Revenue/Email Name</t>
  </si>
  <si>
    <t xml:space="preserve">  Subscription Revenue/Email Name</t>
  </si>
  <si>
    <t xml:space="preserve">  Events Revenue/Email Name</t>
  </si>
  <si>
    <t xml:space="preserve">    Books &amp; Videos Revenue</t>
  </si>
  <si>
    <t xml:space="preserve">    Event Revenue</t>
  </si>
  <si>
    <t>email subs</t>
  </si>
  <si>
    <t>Overall Profit</t>
  </si>
  <si>
    <t xml:space="preserve">        Conversions &amp; Renewals</t>
  </si>
  <si>
    <t xml:space="preserve">    Total High-Remit Net Contribution</t>
  </si>
  <si>
    <t>Other to Search Ratio</t>
  </si>
  <si>
    <t>Visits from Other</t>
  </si>
  <si>
    <t xml:space="preserve">  Cost of Goods</t>
  </si>
  <si>
    <t>Expenses</t>
    <phoneticPr fontId="1" type="noConversion"/>
  </si>
  <si>
    <t>Cost of Goods Sold</t>
    <phoneticPr fontId="1" type="noConversion"/>
  </si>
  <si>
    <t xml:space="preserve">    Cost per Issue Download</t>
  </si>
  <si>
    <t>Total Cost of Goods Sold</t>
    <phoneticPr fontId="1" type="noConversion"/>
  </si>
  <si>
    <t>Digital Retail Net Contribution</t>
  </si>
  <si>
    <t>Margin</t>
    <phoneticPr fontId="1" type="noConversion"/>
  </si>
  <si>
    <t>Total</t>
  </si>
  <si>
    <t xml:space="preserve">License Fee for Adobe DPS 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</si>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</sst>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_);_(&quot;$&quot;* \(#,##0.0\);_(&quot;$&quot;* &quot;-&quot;?_);_(@_)"/>
    <numFmt numFmtId="168" formatCode="_(* #,##0.000000_);_(* \(#,##0.000000\);_(* &quot;-&quot;??_);_(@_)"/>
    <numFmt numFmtId="169" formatCode="_(&quot;$&quot;* #,##0.00_);_(&quot;$&quot;* \(#,##0.00\);_(&quot;$&quot;* &quot;-&quot;_);_(@_)"/>
    <numFmt numFmtId="170" formatCode="0.0%"/>
    <numFmt numFmtId="171" formatCode="_(* #,##0.000_);_(* \(#,##0.000\);_(* &quot;-&quot;??_);_(@_)"/>
    <numFmt numFmtId="172" formatCode="0_);\(0\)"/>
    <numFmt numFmtId="173" formatCode="m/d/yy;@"/>
  </numFmts>
  <fonts count="22" x14ac:knownFonts="1">
    <font>
      <sz val="10"/>
      <name val="Verdana"/>
    </font>
    <font>
      <sz val="12"/>
      <name val="Lucida Grande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4"/>
      <name val="Verdana"/>
    </font>
    <font>
      <sz val="8"/>
      <name val="Lucida Grande"/>
    </font>
    <font>
      <sz val="14"/>
      <name val="Verdana"/>
    </font>
    <font>
      <b/>
      <sz val="12"/>
      <name val="Verdana"/>
      <family val="2"/>
    </font>
    <font>
      <b/>
      <sz val="14"/>
      <color indexed="12"/>
      <name val="Verdana"/>
    </font>
    <font>
      <b/>
      <sz val="10"/>
      <color indexed="12"/>
      <name val="Verdana"/>
    </font>
    <font>
      <sz val="10"/>
      <color indexed="12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10"/>
      <color rgb="FFFF0000"/>
      <name val="Verdana"/>
    </font>
    <font>
      <sz val="10"/>
      <color rgb="FF0000D4"/>
      <name val="Verdana"/>
    </font>
    <font>
      <b/>
      <sz val="8"/>
      <name val="Verdana"/>
    </font>
    <font>
      <b/>
      <sz val="10"/>
      <color rgb="FF0000CC"/>
      <name val="Verdana"/>
    </font>
    <font>
      <sz val="10"/>
      <color rgb="FF0000CC"/>
      <name val="Verdana"/>
    </font>
    <font>
      <b/>
      <sz val="10"/>
      <color rgb="FFFF0000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80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46">
    <xf numFmtId="0" fontId="0" fillId="0" borderId="0" xfId="0"/>
    <xf numFmtId="0" fontId="4" fillId="0" borderId="0" xfId="0" applyFont="1"/>
    <xf numFmtId="0" fontId="0" fillId="2" borderId="0" xfId="0" applyFill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165" fontId="0" fillId="2" borderId="0" xfId="1" applyNumberFormat="1" applyFont="1" applyFill="1"/>
    <xf numFmtId="165" fontId="0" fillId="0" borderId="0" xfId="1" applyNumberFormat="1" applyFont="1"/>
    <xf numFmtId="165" fontId="0" fillId="0" borderId="0" xfId="1" applyNumberFormat="1" applyFont="1" applyAlignment="1">
      <alignment horizontal="left" indent="2"/>
    </xf>
    <xf numFmtId="165" fontId="4" fillId="0" borderId="0" xfId="1" applyNumberFormat="1" applyFont="1"/>
    <xf numFmtId="10" fontId="0" fillId="0" borderId="0" xfId="3" applyNumberFormat="1" applyFont="1"/>
    <xf numFmtId="0" fontId="3" fillId="0" borderId="0" xfId="0" applyFont="1"/>
    <xf numFmtId="165" fontId="3" fillId="0" borderId="0" xfId="1" applyNumberFormat="1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0" applyFont="1" applyFill="1"/>
    <xf numFmtId="6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/>
    <xf numFmtId="168" fontId="10" fillId="0" borderId="0" xfId="0" applyNumberFormat="1" applyFont="1"/>
    <xf numFmtId="0" fontId="10" fillId="0" borderId="0" xfId="0" applyFont="1"/>
    <xf numFmtId="0" fontId="7" fillId="3" borderId="0" xfId="0" applyFont="1" applyFill="1" applyAlignment="1">
      <alignment horizontal="right"/>
    </xf>
    <xf numFmtId="0" fontId="7" fillId="3" borderId="0" xfId="0" applyFont="1" applyFill="1"/>
    <xf numFmtId="0" fontId="9" fillId="3" borderId="0" xfId="0" applyFont="1" applyFill="1"/>
    <xf numFmtId="168" fontId="9" fillId="0" borderId="0" xfId="0" applyNumberFormat="1" applyFont="1"/>
    <xf numFmtId="0" fontId="9" fillId="0" borderId="0" xfId="0" applyFont="1"/>
    <xf numFmtId="0" fontId="7" fillId="3" borderId="0" xfId="0" applyFont="1" applyFill="1" applyAlignment="1">
      <alignment horizontal="right" wrapText="1"/>
    </xf>
    <xf numFmtId="168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44" fontId="9" fillId="0" borderId="0" xfId="0" applyNumberFormat="1" applyFont="1"/>
    <xf numFmtId="165" fontId="9" fillId="0" borderId="0" xfId="0" applyNumberFormat="1" applyFont="1"/>
    <xf numFmtId="8" fontId="9" fillId="0" borderId="0" xfId="0" applyNumberFormat="1" applyFont="1"/>
    <xf numFmtId="8" fontId="9" fillId="0" borderId="0" xfId="0" applyNumberFormat="1" applyFont="1" applyAlignment="1">
      <alignment horizontal="right"/>
    </xf>
    <xf numFmtId="165" fontId="11" fillId="3" borderId="0" xfId="0" applyNumberFormat="1" applyFont="1" applyFill="1" applyAlignment="1" applyProtection="1">
      <alignment horizontal="left"/>
      <protection locked="0"/>
    </xf>
    <xf numFmtId="169" fontId="7" fillId="3" borderId="0" xfId="1" quotePrefix="1" applyNumberFormat="1" applyFont="1" applyFill="1"/>
    <xf numFmtId="166" fontId="7" fillId="3" borderId="0" xfId="2" quotePrefix="1" applyNumberFormat="1" applyFont="1" applyFill="1"/>
    <xf numFmtId="166" fontId="7" fillId="3" borderId="0" xfId="2" applyNumberFormat="1" applyFont="1" applyFill="1"/>
    <xf numFmtId="166" fontId="7" fillId="3" borderId="0" xfId="0" quotePrefix="1" applyNumberFormat="1" applyFont="1" applyFill="1"/>
    <xf numFmtId="168" fontId="9" fillId="0" borderId="0" xfId="1" applyNumberFormat="1" applyFont="1"/>
    <xf numFmtId="165" fontId="13" fillId="0" borderId="0" xfId="1" applyNumberFormat="1" applyFont="1" applyAlignment="1">
      <alignment horizontal="left" indent="2"/>
    </xf>
    <xf numFmtId="10" fontId="13" fillId="0" borderId="0" xfId="3" applyNumberFormat="1" applyFont="1"/>
    <xf numFmtId="165" fontId="13" fillId="0" borderId="0" xfId="1" applyNumberFormat="1" applyFont="1"/>
    <xf numFmtId="164" fontId="13" fillId="0" borderId="0" xfId="1" applyNumberFormat="1" applyFont="1"/>
    <xf numFmtId="0" fontId="0" fillId="4" borderId="0" xfId="0" applyFill="1"/>
    <xf numFmtId="165" fontId="0" fillId="4" borderId="0" xfId="1" applyNumberFormat="1" applyFont="1" applyFill="1"/>
    <xf numFmtId="0" fontId="0" fillId="0" borderId="0" xfId="0" applyFill="1"/>
    <xf numFmtId="165" fontId="0" fillId="0" borderId="0" xfId="1" applyNumberFormat="1" applyFont="1" applyFill="1"/>
    <xf numFmtId="0" fontId="2" fillId="4" borderId="0" xfId="0" applyFont="1" applyFill="1"/>
    <xf numFmtId="0" fontId="4" fillId="4" borderId="0" xfId="0" applyFont="1" applyFill="1"/>
    <xf numFmtId="166" fontId="4" fillId="4" borderId="0" xfId="2" applyNumberFormat="1" applyFont="1" applyFill="1"/>
    <xf numFmtId="165" fontId="5" fillId="0" borderId="0" xfId="1" applyNumberFormat="1" applyFont="1" applyAlignment="1">
      <alignment horizontal="left" indent="2"/>
    </xf>
    <xf numFmtId="44" fontId="2" fillId="4" borderId="0" xfId="2" applyFont="1" applyFill="1"/>
    <xf numFmtId="165" fontId="5" fillId="0" borderId="0" xfId="1" applyNumberFormat="1" applyFont="1"/>
    <xf numFmtId="10" fontId="13" fillId="0" borderId="0" xfId="3" applyNumberFormat="1" applyFont="1"/>
    <xf numFmtId="43" fontId="13" fillId="0" borderId="0" xfId="1" applyNumberFormat="1" applyFont="1" applyAlignment="1">
      <alignment horizontal="left" indent="2"/>
    </xf>
    <xf numFmtId="10" fontId="5" fillId="0" borderId="0" xfId="3" applyNumberFormat="1" applyFont="1"/>
    <xf numFmtId="43" fontId="0" fillId="0" borderId="0" xfId="1" applyNumberFormat="1" applyFont="1" applyAlignment="1">
      <alignment horizontal="left" indent="2"/>
    </xf>
    <xf numFmtId="10" fontId="13" fillId="0" borderId="0" xfId="3" applyNumberFormat="1" applyFont="1" applyFill="1"/>
    <xf numFmtId="38" fontId="5" fillId="0" borderId="0" xfId="3" applyNumberFormat="1" applyFont="1" applyFill="1"/>
    <xf numFmtId="10" fontId="5" fillId="0" borderId="0" xfId="3" applyNumberFormat="1" applyFont="1" applyFill="1"/>
    <xf numFmtId="166" fontId="2" fillId="4" borderId="0" xfId="2" applyNumberFormat="1" applyFont="1" applyFill="1"/>
    <xf numFmtId="0" fontId="4" fillId="0" borderId="0" xfId="0" applyFont="1" applyFill="1"/>
    <xf numFmtId="165" fontId="7" fillId="2" borderId="2" xfId="1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9" fillId="0" borderId="2" xfId="0" applyFont="1" applyBorder="1"/>
    <xf numFmtId="6" fontId="9" fillId="0" borderId="2" xfId="0" applyNumberFormat="1" applyFont="1" applyBorder="1"/>
    <xf numFmtId="0" fontId="5" fillId="0" borderId="0" xfId="0" applyFont="1" applyFill="1"/>
    <xf numFmtId="0" fontId="5" fillId="4" borderId="0" xfId="0" applyFont="1" applyFill="1"/>
    <xf numFmtId="0" fontId="2" fillId="0" borderId="0" xfId="0" applyFont="1" applyFill="1"/>
    <xf numFmtId="0" fontId="2" fillId="0" borderId="0" xfId="0" applyFont="1"/>
    <xf numFmtId="38" fontId="9" fillId="0" borderId="0" xfId="0" applyNumberFormat="1" applyFont="1"/>
    <xf numFmtId="166" fontId="12" fillId="4" borderId="0" xfId="2" applyNumberFormat="1" applyFont="1" applyFill="1"/>
    <xf numFmtId="170" fontId="9" fillId="0" borderId="0" xfId="3" applyNumberFormat="1" applyFont="1"/>
    <xf numFmtId="42" fontId="4" fillId="0" borderId="0" xfId="2" applyNumberFormat="1" applyFont="1" applyFill="1"/>
    <xf numFmtId="42" fontId="4" fillId="0" borderId="0" xfId="1" applyNumberFormat="1" applyFont="1" applyFill="1"/>
    <xf numFmtId="42" fontId="0" fillId="0" borderId="0" xfId="1" applyNumberFormat="1" applyFont="1"/>
    <xf numFmtId="42" fontId="2" fillId="0" borderId="0" xfId="1" applyNumberFormat="1" applyFont="1"/>
    <xf numFmtId="42" fontId="2" fillId="0" borderId="0" xfId="0" applyNumberFormat="1" applyFont="1"/>
    <xf numFmtId="171" fontId="0" fillId="0" borderId="0" xfId="1" applyNumberFormat="1" applyFont="1"/>
    <xf numFmtId="0" fontId="0" fillId="4" borderId="0" xfId="0" applyFont="1" applyFill="1"/>
    <xf numFmtId="44" fontId="5" fillId="4" borderId="0" xfId="2" applyFont="1" applyFill="1"/>
    <xf numFmtId="0" fontId="2" fillId="0" borderId="0" xfId="0" applyFont="1" applyFill="1" applyBorder="1"/>
    <xf numFmtId="165" fontId="2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16" fillId="2" borderId="0" xfId="1" applyNumberFormat="1" applyFont="1" applyFill="1" applyAlignment="1">
      <alignment horizontal="right"/>
    </xf>
    <xf numFmtId="0" fontId="0" fillId="5" borderId="0" xfId="0" applyFill="1"/>
    <xf numFmtId="0" fontId="4" fillId="5" borderId="0" xfId="0" applyFont="1" applyFill="1"/>
    <xf numFmtId="165" fontId="2" fillId="0" borderId="0" xfId="1" applyNumberFormat="1" applyFont="1"/>
    <xf numFmtId="38" fontId="13" fillId="0" borderId="0" xfId="3" applyNumberFormat="1" applyFont="1" applyFill="1"/>
    <xf numFmtId="172" fontId="4" fillId="2" borderId="1" xfId="1" applyNumberFormat="1" applyFont="1" applyFill="1" applyBorder="1" applyAlignment="1">
      <alignment horizontal="right"/>
    </xf>
    <xf numFmtId="42" fontId="5" fillId="0" borderId="0" xfId="1" quotePrefix="1" applyNumberFormat="1" applyFont="1" applyFill="1"/>
    <xf numFmtId="49" fontId="2" fillId="0" borderId="0" xfId="0" applyNumberFormat="1" applyFont="1" applyFill="1" applyBorder="1"/>
    <xf numFmtId="49" fontId="0" fillId="0" borderId="0" xfId="0" applyNumberFormat="1"/>
    <xf numFmtId="49" fontId="0" fillId="0" borderId="0" xfId="3" applyNumberFormat="1" applyFont="1"/>
    <xf numFmtId="49" fontId="2" fillId="0" borderId="0" xfId="0" applyNumberFormat="1" applyFont="1"/>
    <xf numFmtId="49" fontId="0" fillId="0" borderId="0" xfId="0" applyNumberFormat="1" applyFill="1"/>
    <xf numFmtId="49" fontId="5" fillId="0" borderId="0" xfId="0" applyNumberFormat="1" applyFont="1" applyFill="1"/>
    <xf numFmtId="49" fontId="4" fillId="0" borderId="0" xfId="0" applyNumberFormat="1" applyFont="1"/>
    <xf numFmtId="49" fontId="0" fillId="0" borderId="0" xfId="0" applyNumberFormat="1" applyFont="1"/>
    <xf numFmtId="49" fontId="2" fillId="4" borderId="0" xfId="0" applyNumberFormat="1" applyFont="1" applyFill="1"/>
    <xf numFmtId="49" fontId="0" fillId="4" borderId="0" xfId="0" applyNumberFormat="1" applyFill="1"/>
    <xf numFmtId="49" fontId="0" fillId="5" borderId="0" xfId="0" applyNumberFormat="1" applyFill="1"/>
    <xf numFmtId="49" fontId="2" fillId="5" borderId="0" xfId="0" applyNumberFormat="1" applyFont="1" applyFill="1"/>
    <xf numFmtId="49" fontId="4" fillId="4" borderId="0" xfId="0" applyNumberFormat="1" applyFont="1" applyFill="1"/>
    <xf numFmtId="49" fontId="0" fillId="4" borderId="0" xfId="0" applyNumberFormat="1" applyFont="1" applyFill="1"/>
    <xf numFmtId="49" fontId="4" fillId="0" borderId="0" xfId="0" applyNumberFormat="1" applyFont="1" applyFill="1"/>
    <xf numFmtId="49" fontId="2" fillId="0" borderId="0" xfId="0" applyNumberFormat="1" applyFont="1" applyFill="1"/>
    <xf numFmtId="0" fontId="2" fillId="2" borderId="0" xfId="0" applyFont="1" applyFill="1"/>
    <xf numFmtId="10" fontId="9" fillId="0" borderId="0" xfId="3" applyNumberFormat="1" applyFont="1"/>
    <xf numFmtId="8" fontId="9" fillId="0" borderId="0" xfId="0" applyNumberFormat="1" applyFont="1" applyFill="1" applyAlignment="1">
      <alignment horizontal="center"/>
    </xf>
    <xf numFmtId="165" fontId="2" fillId="0" borderId="0" xfId="1" applyNumberFormat="1" applyFont="1" applyFill="1"/>
    <xf numFmtId="165" fontId="2" fillId="5" borderId="0" xfId="1" applyNumberFormat="1" applyFont="1" applyFill="1"/>
    <xf numFmtId="166" fontId="2" fillId="4" borderId="0" xfId="2" quotePrefix="1" applyNumberFormat="1" applyFont="1" applyFill="1"/>
    <xf numFmtId="44" fontId="2" fillId="4" borderId="0" xfId="2" applyNumberFormat="1" applyFont="1" applyFill="1"/>
    <xf numFmtId="44" fontId="12" fillId="4" borderId="0" xfId="2" applyFont="1" applyFill="1"/>
    <xf numFmtId="40" fontId="13" fillId="4" borderId="0" xfId="2" applyNumberFormat="1" applyFont="1" applyFill="1"/>
    <xf numFmtId="166" fontId="13" fillId="4" borderId="0" xfId="2" applyNumberFormat="1" applyFont="1" applyFill="1"/>
    <xf numFmtId="44" fontId="5" fillId="4" borderId="0" xfId="2" applyNumberFormat="1" applyFont="1" applyFill="1"/>
    <xf numFmtId="165" fontId="0" fillId="0" borderId="0" xfId="1" applyNumberFormat="1" applyFont="1" applyFill="1" applyAlignment="1">
      <alignment horizontal="right"/>
    </xf>
    <xf numFmtId="165" fontId="13" fillId="0" borderId="0" xfId="1" applyNumberFormat="1" applyFont="1" applyFill="1"/>
    <xf numFmtId="166" fontId="13" fillId="0" borderId="0" xfId="2" applyNumberFormat="1" applyFont="1" applyFill="1"/>
    <xf numFmtId="166" fontId="2" fillId="0" borderId="0" xfId="2" applyNumberFormat="1" applyFont="1" applyFill="1"/>
    <xf numFmtId="166" fontId="13" fillId="0" borderId="0" xfId="2" quotePrefix="1" applyNumberFormat="1" applyFont="1" applyFill="1"/>
    <xf numFmtId="0" fontId="0" fillId="0" borderId="0" xfId="0" applyFont="1" applyFill="1"/>
    <xf numFmtId="166" fontId="5" fillId="0" borderId="0" xfId="2" quotePrefix="1" applyNumberFormat="1" applyFont="1" applyFill="1"/>
    <xf numFmtId="166" fontId="0" fillId="0" borderId="0" xfId="2" quotePrefix="1" applyNumberFormat="1" applyFont="1" applyFill="1"/>
    <xf numFmtId="166" fontId="2" fillId="0" borderId="0" xfId="1" applyNumberFormat="1" applyFont="1"/>
    <xf numFmtId="10" fontId="2" fillId="0" borderId="0" xfId="3" applyNumberFormat="1" applyFont="1"/>
    <xf numFmtId="165" fontId="17" fillId="0" borderId="0" xfId="0" applyNumberFormat="1" applyFont="1" applyAlignment="1">
      <alignment horizontal="left" indent="2"/>
    </xf>
    <xf numFmtId="0" fontId="2" fillId="5" borderId="0" xfId="0" applyFont="1" applyFill="1"/>
    <xf numFmtId="42" fontId="2" fillId="0" borderId="0" xfId="3" applyNumberFormat="1" applyFont="1"/>
    <xf numFmtId="38" fontId="13" fillId="0" borderId="0" xfId="3" applyNumberFormat="1" applyFont="1"/>
    <xf numFmtId="49" fontId="2" fillId="0" borderId="0" xfId="3" applyNumberFormat="1" applyFont="1"/>
    <xf numFmtId="8" fontId="13" fillId="0" borderId="0" xfId="1" applyNumberFormat="1" applyFont="1" applyAlignment="1"/>
    <xf numFmtId="42" fontId="2" fillId="0" borderId="0" xfId="1" applyNumberFormat="1" applyFont="1" applyAlignment="1">
      <alignment horizontal="left" indent="2"/>
    </xf>
    <xf numFmtId="165" fontId="0" fillId="0" borderId="1" xfId="1" applyNumberFormat="1" applyFont="1" applyBorder="1"/>
    <xf numFmtId="0" fontId="0" fillId="2" borderId="1" xfId="0" applyFont="1" applyFill="1" applyBorder="1"/>
    <xf numFmtId="172" fontId="2" fillId="2" borderId="1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0" xfId="0" applyFont="1"/>
    <xf numFmtId="0" fontId="0" fillId="0" borderId="1" xfId="0" applyFont="1" applyBorder="1"/>
    <xf numFmtId="165" fontId="0" fillId="0" borderId="0" xfId="1" applyNumberFormat="1" applyFont="1" applyFill="1" applyAlignment="1" applyProtection="1">
      <alignment horizontal="left"/>
    </xf>
    <xf numFmtId="10" fontId="0" fillId="0" borderId="0" xfId="3" applyNumberFormat="1" applyFont="1" applyFill="1" applyProtection="1"/>
    <xf numFmtId="0" fontId="0" fillId="0" borderId="0" xfId="0" applyFont="1" applyFill="1" applyProtection="1"/>
    <xf numFmtId="0" fontId="2" fillId="0" borderId="0" xfId="0" applyFont="1" applyFill="1" applyProtection="1"/>
    <xf numFmtId="166" fontId="2" fillId="0" borderId="0" xfId="2" applyNumberFormat="1" applyFont="1" applyFill="1" applyProtection="1"/>
    <xf numFmtId="166" fontId="13" fillId="0" borderId="0" xfId="1" applyNumberFormat="1" applyFont="1" applyAlignment="1">
      <alignment horizontal="left" indent="2"/>
    </xf>
    <xf numFmtId="166" fontId="0" fillId="0" borderId="0" xfId="1" applyNumberFormat="1" applyFont="1" applyAlignment="1">
      <alignment horizontal="left" indent="2"/>
    </xf>
    <xf numFmtId="166" fontId="0" fillId="0" borderId="0" xfId="1" applyNumberFormat="1" applyFont="1" applyFill="1"/>
    <xf numFmtId="166" fontId="0" fillId="0" borderId="0" xfId="1" applyNumberFormat="1" applyFont="1"/>
    <xf numFmtId="166" fontId="0" fillId="0" borderId="0" xfId="0" applyNumberFormat="1" applyFont="1"/>
    <xf numFmtId="42" fontId="13" fillId="0" borderId="0" xfId="1" applyNumberFormat="1" applyFont="1" applyAlignment="1"/>
    <xf numFmtId="38" fontId="0" fillId="0" borderId="0" xfId="1" applyNumberFormat="1" applyFont="1"/>
    <xf numFmtId="38" fontId="2" fillId="0" borderId="0" xfId="1" applyNumberFormat="1" applyFont="1"/>
    <xf numFmtId="165" fontId="0" fillId="0" borderId="0" xfId="0" applyNumberFormat="1" applyFont="1"/>
    <xf numFmtId="173" fontId="18" fillId="2" borderId="1" xfId="1" applyNumberFormat="1" applyFont="1" applyFill="1" applyBorder="1" applyAlignment="1">
      <alignment horizontal="left"/>
    </xf>
    <xf numFmtId="14" fontId="6" fillId="2" borderId="0" xfId="0" applyNumberFormat="1" applyFont="1" applyFill="1" applyAlignment="1">
      <alignment horizontal="left"/>
    </xf>
    <xf numFmtId="166" fontId="2" fillId="0" borderId="1" xfId="2" applyNumberFormat="1" applyFont="1" applyFill="1" applyBorder="1" applyProtection="1"/>
    <xf numFmtId="42" fontId="2" fillId="0" borderId="1" xfId="1" applyNumberFormat="1" applyFont="1" applyBorder="1"/>
    <xf numFmtId="10" fontId="2" fillId="0" borderId="1" xfId="3" applyNumberFormat="1" applyFont="1" applyBorder="1"/>
    <xf numFmtId="166" fontId="2" fillId="0" borderId="0" xfId="2" applyNumberFormat="1" applyFont="1" applyFill="1" applyBorder="1" applyProtection="1"/>
    <xf numFmtId="10" fontId="2" fillId="0" borderId="0" xfId="3" applyNumberFormat="1" applyFont="1" applyBorder="1"/>
    <xf numFmtId="42" fontId="2" fillId="0" borderId="0" xfId="1" applyNumberFormat="1" applyFont="1" applyAlignment="1"/>
    <xf numFmtId="42" fontId="0" fillId="0" borderId="0" xfId="0" applyNumberFormat="1" applyFont="1"/>
    <xf numFmtId="38" fontId="13" fillId="0" borderId="0" xfId="3" applyNumberFormat="1" applyFont="1" applyAlignment="1"/>
    <xf numFmtId="38" fontId="0" fillId="0" borderId="0" xfId="1" applyNumberFormat="1" applyFont="1" applyAlignment="1"/>
    <xf numFmtId="44" fontId="13" fillId="0" borderId="0" xfId="1" applyNumberFormat="1" applyFont="1" applyAlignment="1"/>
    <xf numFmtId="166" fontId="2" fillId="0" borderId="0" xfId="1" applyNumberFormat="1" applyFont="1" applyAlignment="1"/>
    <xf numFmtId="42" fontId="0" fillId="0" borderId="0" xfId="1" applyNumberFormat="1" applyFont="1" applyAlignment="1">
      <alignment horizontal="right" indent="2"/>
    </xf>
    <xf numFmtId="166" fontId="2" fillId="0" borderId="0" xfId="1" applyNumberFormat="1" applyFont="1" applyBorder="1"/>
    <xf numFmtId="166" fontId="0" fillId="0" borderId="0" xfId="1" applyNumberFormat="1" applyFont="1" applyAlignment="1"/>
    <xf numFmtId="166" fontId="0" fillId="0" borderId="0" xfId="1" applyNumberFormat="1" applyFont="1" applyAlignment="1">
      <alignment horizontal="right" indent="2"/>
    </xf>
    <xf numFmtId="166" fontId="13" fillId="0" borderId="0" xfId="1" applyNumberFormat="1" applyFont="1" applyAlignment="1"/>
    <xf numFmtId="166" fontId="0" fillId="0" borderId="0" xfId="1" applyNumberFormat="1" applyFont="1" applyFill="1" applyAlignment="1"/>
    <xf numFmtId="166" fontId="0" fillId="0" borderId="0" xfId="0" applyNumberFormat="1" applyFont="1" applyAlignment="1"/>
    <xf numFmtId="49" fontId="2" fillId="0" borderId="0" xfId="0" applyNumberFormat="1" applyFont="1" applyFill="1" applyAlignment="1">
      <alignment horizontal="left"/>
    </xf>
    <xf numFmtId="167" fontId="4" fillId="0" borderId="0" xfId="0" applyNumberFormat="1" applyFont="1" applyFill="1"/>
    <xf numFmtId="42" fontId="20" fillId="0" borderId="0" xfId="1" applyNumberFormat="1" applyFont="1" applyAlignment="1"/>
    <xf numFmtId="165" fontId="20" fillId="0" borderId="0" xfId="1" applyNumberFormat="1" applyFont="1"/>
    <xf numFmtId="9" fontId="20" fillId="0" borderId="0" xfId="3" applyFont="1" applyFill="1"/>
    <xf numFmtId="10" fontId="20" fillId="0" borderId="0" xfId="3" applyNumberFormat="1" applyFont="1"/>
    <xf numFmtId="44" fontId="20" fillId="0" borderId="0" xfId="1" applyNumberFormat="1" applyFont="1" applyAlignment="1"/>
    <xf numFmtId="38" fontId="5" fillId="0" borderId="0" xfId="3" applyNumberFormat="1" applyFont="1"/>
    <xf numFmtId="165" fontId="5" fillId="0" borderId="0" xfId="1" applyNumberFormat="1" applyFont="1" applyFill="1"/>
    <xf numFmtId="0" fontId="0" fillId="0" borderId="0" xfId="0" applyFont="1" applyBorder="1"/>
    <xf numFmtId="165" fontId="0" fillId="0" borderId="0" xfId="1" applyNumberFormat="1" applyFont="1" applyBorder="1"/>
    <xf numFmtId="166" fontId="0" fillId="0" borderId="0" xfId="1" quotePrefix="1" applyNumberFormat="1" applyFont="1"/>
    <xf numFmtId="49" fontId="0" fillId="0" borderId="1" xfId="0" applyNumberFormat="1" applyFont="1" applyBorder="1"/>
    <xf numFmtId="165" fontId="2" fillId="0" borderId="0" xfId="1" applyNumberFormat="1" applyFont="1" applyAlignment="1">
      <alignment horizontal="left" indent="2"/>
    </xf>
    <xf numFmtId="165" fontId="5" fillId="0" borderId="1" xfId="1" applyNumberFormat="1" applyFont="1" applyBorder="1" applyAlignment="1">
      <alignment horizontal="left" indent="2"/>
    </xf>
    <xf numFmtId="166" fontId="5" fillId="0" borderId="1" xfId="1" applyNumberFormat="1" applyFont="1" applyBorder="1" applyAlignment="1">
      <alignment horizontal="left" indent="2"/>
    </xf>
    <xf numFmtId="42" fontId="2" fillId="0" borderId="0" xfId="1" applyNumberFormat="1" applyFont="1" applyAlignment="1">
      <alignment horizontal="right" indent="2"/>
    </xf>
    <xf numFmtId="44" fontId="0" fillId="0" borderId="0" xfId="1" applyNumberFormat="1" applyFont="1"/>
    <xf numFmtId="38" fontId="0" fillId="0" borderId="0" xfId="0" applyNumberFormat="1" applyFont="1"/>
    <xf numFmtId="165" fontId="2" fillId="2" borderId="0" xfId="1" applyNumberFormat="1" applyFont="1" applyFill="1"/>
    <xf numFmtId="14" fontId="18" fillId="2" borderId="0" xfId="0" applyNumberFormat="1" applyFont="1" applyFill="1" applyAlignment="1">
      <alignment horizontal="left"/>
    </xf>
    <xf numFmtId="165" fontId="21" fillId="2" borderId="0" xfId="1" applyNumberFormat="1" applyFont="1" applyFill="1" applyAlignment="1">
      <alignment horizontal="right"/>
    </xf>
    <xf numFmtId="0" fontId="2" fillId="2" borderId="1" xfId="0" applyFont="1" applyFill="1" applyBorder="1"/>
    <xf numFmtId="42" fontId="2" fillId="5" borderId="0" xfId="0" applyNumberFormat="1" applyFont="1" applyFill="1"/>
    <xf numFmtId="38" fontId="2" fillId="0" borderId="0" xfId="1" applyNumberFormat="1" applyFont="1" applyFill="1"/>
    <xf numFmtId="42" fontId="2" fillId="0" borderId="0" xfId="3" applyNumberFormat="1" applyFont="1" applyFill="1"/>
    <xf numFmtId="165" fontId="20" fillId="0" borderId="0" xfId="1" applyNumberFormat="1" applyFont="1" applyAlignment="1">
      <alignment horizontal="left" indent="2"/>
    </xf>
    <xf numFmtId="0" fontId="19" fillId="2" borderId="0" xfId="0" applyFont="1" applyFill="1"/>
    <xf numFmtId="38" fontId="20" fillId="0" borderId="0" xfId="3" applyNumberFormat="1" applyFont="1"/>
    <xf numFmtId="44" fontId="20" fillId="0" borderId="0" xfId="3" applyNumberFormat="1" applyFont="1"/>
    <xf numFmtId="44" fontId="20" fillId="0" borderId="0" xfId="3" applyNumberFormat="1" applyFont="1" applyFill="1"/>
    <xf numFmtId="0" fontId="20" fillId="0" borderId="0" xfId="0" applyFont="1" applyAlignment="1">
      <alignment horizontal="center"/>
    </xf>
    <xf numFmtId="42" fontId="20" fillId="0" borderId="0" xfId="0" applyNumberFormat="1" applyFont="1"/>
    <xf numFmtId="9" fontId="20" fillId="0" borderId="0" xfId="0" applyNumberFormat="1" applyFont="1"/>
    <xf numFmtId="43" fontId="20" fillId="4" borderId="0" xfId="1" applyFont="1" applyFill="1"/>
    <xf numFmtId="44" fontId="20" fillId="4" borderId="0" xfId="2" applyNumberFormat="1" applyFont="1" applyFill="1"/>
    <xf numFmtId="42" fontId="9" fillId="0" borderId="0" xfId="0" applyNumberFormat="1" applyFont="1"/>
    <xf numFmtId="165" fontId="0" fillId="5" borderId="0" xfId="1" applyNumberFormat="1" applyFont="1" applyFill="1"/>
    <xf numFmtId="165" fontId="9" fillId="0" borderId="0" xfId="1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5" fontId="9" fillId="5" borderId="0" xfId="1" applyNumberFormat="1" applyFont="1" applyFill="1"/>
    <xf numFmtId="166" fontId="9" fillId="0" borderId="0" xfId="0" applyNumberFormat="1" applyFont="1"/>
    <xf numFmtId="166" fontId="9" fillId="0" borderId="0" xfId="0" applyNumberFormat="1" applyFont="1" applyFill="1"/>
    <xf numFmtId="166" fontId="9" fillId="0" borderId="0" xfId="0" quotePrefix="1" applyNumberFormat="1" applyFont="1"/>
    <xf numFmtId="0" fontId="2" fillId="0" borderId="0" xfId="0" applyFont="1" applyAlignment="1">
      <alignment horizontal="center"/>
    </xf>
    <xf numFmtId="166" fontId="0" fillId="0" borderId="0" xfId="0" applyNumberFormat="1"/>
    <xf numFmtId="0" fontId="0" fillId="0" borderId="0" xfId="0" applyFill="1" applyBorder="1"/>
    <xf numFmtId="172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72" fontId="5" fillId="0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5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0" fontId="0" fillId="0" borderId="1" xfId="0" applyFill="1" applyBorder="1"/>
    <xf numFmtId="172" fontId="5" fillId="0" borderId="1" xfId="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42" fontId="5" fillId="0" borderId="0" xfId="1" applyNumberFormat="1" applyFont="1" applyAlignment="1">
      <alignment horizontal="right" indent="2"/>
    </xf>
    <xf numFmtId="167" fontId="2" fillId="0" borderId="0" xfId="0" applyNumberFormat="1" applyFont="1" applyFill="1"/>
    <xf numFmtId="9" fontId="5" fillId="5" borderId="0" xfId="3" applyFont="1" applyFill="1"/>
    <xf numFmtId="166" fontId="2" fillId="0" borderId="0" xfId="0" applyNumberFormat="1" applyFont="1"/>
    <xf numFmtId="165" fontId="21" fillId="2" borderId="0" xfId="1" applyNumberFormat="1" applyFont="1" applyFill="1"/>
    <xf numFmtId="166" fontId="2" fillId="0" borderId="0" xfId="1" applyNumberFormat="1" applyFont="1" applyFill="1"/>
    <xf numFmtId="49" fontId="2" fillId="0" borderId="1" xfId="0" applyNumberFormat="1" applyFont="1" applyFill="1" applyBorder="1"/>
    <xf numFmtId="38" fontId="2" fillId="0" borderId="1" xfId="1" applyNumberFormat="1" applyFont="1" applyFill="1" applyBorder="1"/>
    <xf numFmtId="0" fontId="2" fillId="0" borderId="1" xfId="0" applyFont="1" applyFill="1" applyBorder="1"/>
    <xf numFmtId="49" fontId="2" fillId="4" borderId="0" xfId="0" applyNumberFormat="1" applyFont="1" applyFill="1" applyAlignment="1">
      <alignment horizontal="left"/>
    </xf>
    <xf numFmtId="42" fontId="2" fillId="4" borderId="0" xfId="2" applyNumberFormat="1" applyFont="1" applyFill="1"/>
    <xf numFmtId="167" fontId="2" fillId="4" borderId="0" xfId="0" applyNumberFormat="1" applyFont="1" applyFill="1"/>
    <xf numFmtId="9" fontId="6" fillId="4" borderId="0" xfId="3" applyFont="1" applyFill="1"/>
    <xf numFmtId="166" fontId="19" fillId="0" borderId="0" xfId="3" applyNumberFormat="1" applyFont="1"/>
  </cellXfs>
  <cellStyles count="1280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5" builtinId="9" hidden="1"/>
    <cellStyle name="Followed Hyperlink" xfId="1127" builtinId="9" hidden="1"/>
    <cellStyle name="Followed Hyperlink" xfId="1129" builtinId="9" hidden="1"/>
    <cellStyle name="Followed Hyperlink" xfId="1131" builtinId="9" hidden="1"/>
    <cellStyle name="Followed Hyperlink" xfId="1133" builtinId="9" hidden="1"/>
    <cellStyle name="Followed Hyperlink" xfId="1135" builtinId="9" hidden="1"/>
    <cellStyle name="Followed Hyperlink" xfId="1137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6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4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Normal" xfId="0" builtinId="0"/>
    <cellStyle name="Percent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hartsheet" Target="chartsheets/sheet11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Relationship Id="rId24" Type="http://schemas.openxmlformats.org/officeDocument/2006/relationships/calcChain" Target="calcChain.xml"/><Relationship Id="rId10" Type="http://schemas.openxmlformats.org/officeDocument/2006/relationships/chartsheet" Target="chartsheets/sheet1.xml"/><Relationship Id="rId11" Type="http://schemas.openxmlformats.org/officeDocument/2006/relationships/chartsheet" Target="chartsheets/sheet2.xml"/><Relationship Id="rId12" Type="http://schemas.openxmlformats.org/officeDocument/2006/relationships/chartsheet" Target="chartsheets/sheet3.xml"/><Relationship Id="rId13" Type="http://schemas.openxmlformats.org/officeDocument/2006/relationships/chartsheet" Target="chartsheets/sheet4.xml"/><Relationship Id="rId14" Type="http://schemas.openxmlformats.org/officeDocument/2006/relationships/chartsheet" Target="chartsheets/sheet5.xml"/><Relationship Id="rId15" Type="http://schemas.openxmlformats.org/officeDocument/2006/relationships/chartsheet" Target="chartsheets/sheet6.xml"/><Relationship Id="rId16" Type="http://schemas.openxmlformats.org/officeDocument/2006/relationships/chartsheet" Target="chartsheets/sheet7.xml"/><Relationship Id="rId17" Type="http://schemas.openxmlformats.org/officeDocument/2006/relationships/chartsheet" Target="chartsheets/sheet8.xml"/><Relationship Id="rId18" Type="http://schemas.openxmlformats.org/officeDocument/2006/relationships/chartsheet" Target="chartsheets/sheet9.xml"/><Relationship Id="rId19" Type="http://schemas.openxmlformats.org/officeDocument/2006/relationships/chartsheet" Target="chartsheets/sheet10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58189377724"/>
                  <c:y val="-0.2039767675326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0417711340444"/>
                  <c:y val="0.0410694444135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2496528311733"/>
                  <c:y val="0.179895409705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23932783031929"/>
                  <c:y val="0.02759048194403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'Graph Data'!$A$36:$A$39</c:f>
              <c:strCache>
                <c:ptCount val="4"/>
                <c:pt idx="0">
                  <c:v>Visits from Search</c:v>
                </c:pt>
                <c:pt idx="1">
                  <c:v>Visits from Referrals</c:v>
                </c:pt>
                <c:pt idx="2">
                  <c:v>Visits from Direct</c:v>
                </c:pt>
                <c:pt idx="3">
                  <c:v>Visits from Email</c:v>
                </c:pt>
              </c:strCache>
            </c:strRef>
          </c:cat>
          <c:val>
            <c:numRef>
              <c:f>'Graph Data'!$B$36:$B$39</c:f>
              <c:numCache>
                <c:formatCode>#,##0_);[Red]\(#,##0\)</c:formatCode>
                <c:ptCount val="4"/>
                <c:pt idx="0">
                  <c:v>7.154564586708E6</c:v>
                </c:pt>
                <c:pt idx="1">
                  <c:v>2.1463693760124E6</c:v>
                </c:pt>
                <c:pt idx="2">
                  <c:v>1.4309129173416E6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 Data'!$B$50</c:f>
              <c:strCache>
                <c:ptCount val="1"/>
                <c:pt idx="0">
                  <c:v>User Revenue</c:v>
                </c:pt>
              </c:strCache>
            </c:strRef>
          </c:tx>
          <c:invertIfNegative val="0"/>
          <c:cat>
            <c:strRef>
              <c:f>'Graph Data'!$A$51:$A$55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'Graph Data'!$B$51:$B$55</c:f>
              <c:numCache>
                <c:formatCode>_("$"* #,##0_);_("$"* \(#,##0\);_("$"* "-"??_);_(@_)</c:formatCode>
                <c:ptCount val="5"/>
                <c:pt idx="0">
                  <c:v>104963.496364512</c:v>
                </c:pt>
                <c:pt idx="1">
                  <c:v>427650.450900768</c:v>
                </c:pt>
                <c:pt idx="2">
                  <c:v>1.13336924113914E6</c:v>
                </c:pt>
                <c:pt idx="3">
                  <c:v>2.49156865643708E6</c:v>
                </c:pt>
                <c:pt idx="4">
                  <c:v>4.0392808493587E6</c:v>
                </c:pt>
              </c:numCache>
            </c:numRef>
          </c:val>
        </c:ser>
        <c:ser>
          <c:idx val="1"/>
          <c:order val="1"/>
          <c:tx>
            <c:strRef>
              <c:f>'Graph Data'!$C$50</c:f>
              <c:strCache>
                <c:ptCount val="1"/>
                <c:pt idx="0">
                  <c:v>Sponsor Revenue</c:v>
                </c:pt>
              </c:strCache>
            </c:strRef>
          </c:tx>
          <c:spPr>
            <a:solidFill>
              <a:srgbClr val="CCFFCC"/>
            </a:solidFill>
          </c:spPr>
          <c:invertIfNegative val="0"/>
          <c:cat>
            <c:strRef>
              <c:f>'Graph Data'!$A$51:$A$55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'Graph Data'!$C$51:$C$55</c:f>
              <c:numCache>
                <c:formatCode>_("$"* #,##0_);_("$"* \(#,##0\);_("$"* "-"??_);_(@_)</c:formatCode>
                <c:ptCount val="5"/>
                <c:pt idx="0">
                  <c:v>0.0</c:v>
                </c:pt>
                <c:pt idx="1">
                  <c:v>60000.0</c:v>
                </c:pt>
                <c:pt idx="2">
                  <c:v>270000.0</c:v>
                </c:pt>
                <c:pt idx="3">
                  <c:v>720000.0</c:v>
                </c:pt>
                <c:pt idx="4">
                  <c:v>1.2E6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5087592"/>
        <c:axId val="564529672"/>
      </c:barChart>
      <c:catAx>
        <c:axId val="5650875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"/>
              </a:defRPr>
            </a:pPr>
            <a:endParaRPr lang="en-US"/>
          </a:p>
        </c:txPr>
        <c:crossAx val="564529672"/>
        <c:crosses val="autoZero"/>
        <c:auto val="1"/>
        <c:lblAlgn val="ctr"/>
        <c:lblOffset val="100"/>
        <c:noMultiLvlLbl val="0"/>
      </c:catAx>
      <c:valAx>
        <c:axId val="564529672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"/>
              </a:defRPr>
            </a:pPr>
            <a:endParaRPr lang="en-US"/>
          </a:p>
        </c:txPr>
        <c:crossAx val="56508759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</c:spPr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="0" i="0">
              <a:latin typeface="Arial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Data'!$B$57</c:f>
              <c:strCache>
                <c:ptCount val="1"/>
                <c:pt idx="0">
                  <c:v>   Direct Subs</c:v>
                </c:pt>
              </c:strCache>
            </c:strRef>
          </c:tx>
          <c:marker>
            <c:symbol val="none"/>
          </c:marker>
          <c:cat>
            <c:strRef>
              <c:f>'Graph Data'!$A$58:$A$62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'Graph Data'!$B$58:$B$62</c:f>
              <c:numCache>
                <c:formatCode>_(* #,##0_);_(* \(#,##0\);_(* "-"??_);_(@_)</c:formatCode>
                <c:ptCount val="5"/>
                <c:pt idx="0">
                  <c:v>632876.2127887867</c:v>
                </c:pt>
                <c:pt idx="1">
                  <c:v>657013.794487193</c:v>
                </c:pt>
                <c:pt idx="2">
                  <c:v>659325.0948853364</c:v>
                </c:pt>
                <c:pt idx="3">
                  <c:v>654338.9181481705</c:v>
                </c:pt>
                <c:pt idx="4">
                  <c:v>648607.4633791347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Data'!$C$57</c:f>
              <c:strCache>
                <c:ptCount val="1"/>
                <c:pt idx="0">
                  <c:v>   Legacy Newsstand</c:v>
                </c:pt>
              </c:strCache>
            </c:strRef>
          </c:tx>
          <c:marker>
            <c:symbol val="none"/>
          </c:marker>
          <c:cat>
            <c:strRef>
              <c:f>'Graph Data'!$A$58:$A$62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'Graph Data'!$C$58:$C$62</c:f>
              <c:numCache>
                <c:formatCode>General</c:formatCode>
                <c:ptCount val="5"/>
                <c:pt idx="0">
                  <c:v>120000.0</c:v>
                </c:pt>
                <c:pt idx="1">
                  <c:v>102600.0</c:v>
                </c:pt>
                <c:pt idx="2">
                  <c:v>86400.0</c:v>
                </c:pt>
                <c:pt idx="3">
                  <c:v>71400.0</c:v>
                </c:pt>
                <c:pt idx="4">
                  <c:v>57600.0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Data'!$D$57</c:f>
              <c:strCache>
                <c:ptCount val="1"/>
                <c:pt idx="0">
                  <c:v>   Digital Newsstand</c:v>
                </c:pt>
              </c:strCache>
            </c:strRef>
          </c:tx>
          <c:marker>
            <c:symbol val="none"/>
          </c:marker>
          <c:cat>
            <c:strRef>
              <c:f>'Graph Data'!$A$58:$A$62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'Graph Data'!$D$58:$D$62</c:f>
              <c:numCache>
                <c:formatCode>General</c:formatCode>
                <c:ptCount val="5"/>
                <c:pt idx="0">
                  <c:v>0.0</c:v>
                </c:pt>
                <c:pt idx="1">
                  <c:v>9000.0</c:v>
                </c:pt>
                <c:pt idx="2">
                  <c:v>27000.0</c:v>
                </c:pt>
                <c:pt idx="3">
                  <c:v>54000.0</c:v>
                </c:pt>
                <c:pt idx="4">
                  <c:v>81000.0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Data'!$E$57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'Graph Data'!$A$58:$A$62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'Graph Data'!$E$58:$E$62</c:f>
              <c:numCache>
                <c:formatCode>_(* #,##0_);_(* \(#,##0\);_(* "-"??_);_(@_)</c:formatCode>
                <c:ptCount val="5"/>
                <c:pt idx="0">
                  <c:v>752876.2127887867</c:v>
                </c:pt>
                <c:pt idx="1">
                  <c:v>768613.794487193</c:v>
                </c:pt>
                <c:pt idx="2">
                  <c:v>772725.0948853364</c:v>
                </c:pt>
                <c:pt idx="3">
                  <c:v>779738.9181481705</c:v>
                </c:pt>
                <c:pt idx="4">
                  <c:v>787207.4633791347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689464"/>
        <c:axId val="547171128"/>
      </c:lineChart>
      <c:catAx>
        <c:axId val="547689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en-US"/>
          </a:p>
        </c:txPr>
        <c:crossAx val="547171128"/>
        <c:crosses val="autoZero"/>
        <c:auto val="1"/>
        <c:lblAlgn val="ctr"/>
        <c:lblOffset val="100"/>
        <c:noMultiLvlLbl val="0"/>
      </c:catAx>
      <c:valAx>
        <c:axId val="54717112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en-US"/>
          </a:p>
        </c:txPr>
        <c:crossAx val="547689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08600354516403"/>
                  <c:y val="0.161260865738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2777560062292"/>
                  <c:y val="-0.3272813727602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6499551262755"/>
                  <c:y val="0.1761865199945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301201245839977"/>
                  <c:y val="0.04431413187273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 i="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'Graph Data'!$A$6:$A$8</c:f>
              <c:strCache>
                <c:ptCount val="3"/>
                <c:pt idx="0">
                  <c:v>Website Revenue</c:v>
                </c:pt>
                <c:pt idx="1">
                  <c:v>Email Revenue</c:v>
                </c:pt>
                <c:pt idx="2">
                  <c:v>Sponsorship Revenue</c:v>
                </c:pt>
              </c:strCache>
            </c:strRef>
          </c:cat>
          <c:val>
            <c:numRef>
              <c:f>'Graph Data'!$B$6:$B$8</c:f>
              <c:numCache>
                <c:formatCode>_("$"* #,##0_);_("$"* \(#,##0\);_("$"* "-"??_);_(@_)</c:formatCode>
                <c:ptCount val="3"/>
                <c:pt idx="0">
                  <c:v>643910.8128037202</c:v>
                </c:pt>
                <c:pt idx="1">
                  <c:v>3.39537003655498E6</c:v>
                </c:pt>
                <c:pt idx="2">
                  <c:v>1.2E6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pieChart>
        <c:varyColors val="1"/>
        <c:ser>
          <c:idx val="2"/>
          <c:order val="0"/>
          <c:dLbls>
            <c:dLbl>
              <c:idx val="0"/>
              <c:layout>
                <c:manualLayout>
                  <c:x val="-0.0887493231663049"/>
                  <c:y val="0.1433183348498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Direct Mail</a:t>
                    </a:r>
                  </a:p>
                  <a:p>
                    <a:r>
                      <a:rPr lang="en-US"/>
                      <a:t> 14.0%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5452071320797"/>
                  <c:y val="0.06624783010561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Newsstand</a:t>
                    </a:r>
                  </a:p>
                  <a:p>
                    <a:r>
                      <a:rPr lang="en-US"/>
                      <a:t>9.5%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0176192275754862"/>
                  <c:y val="-0.003852472181346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Newsstand Inserts</a:t>
                    </a:r>
                  </a:p>
                  <a:p>
                    <a:r>
                      <a:rPr lang="en-US"/>
                      <a:t>1.8%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Subscription Inserts</a:t>
                    </a:r>
                  </a:p>
                  <a:p>
                    <a:r>
                      <a:rPr lang="en-US"/>
                      <a:t>12.6%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728747188985015"/>
                  <c:y val="-0.08848477418201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Low-Remit Agents 0.8%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128247753284915"/>
                  <c:y val="0.02331979371748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High-Remit Agents</a:t>
                    </a:r>
                  </a:p>
                  <a:p>
                    <a:r>
                      <a:rPr lang="en-US"/>
                      <a:t>0.3%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621382259827718"/>
                  <c:y val="-0.147873015503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Community</a:t>
                    </a:r>
                    <a:endParaRPr lang="en-US" baseline="0"/>
                  </a:p>
                  <a:p>
                    <a:r>
                      <a:rPr lang="en-US"/>
                      <a:t> 0.0%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170969356325331"/>
                  <c:y val="-0.2151548951002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Conversions &amp;</a:t>
                    </a:r>
                    <a:r>
                      <a:rPr lang="en-US" baseline="0"/>
                      <a:t> </a:t>
                    </a:r>
                    <a:r>
                      <a:rPr lang="en-US"/>
                      <a:t>Renewals</a:t>
                    </a:r>
                  </a:p>
                  <a:p>
                    <a:r>
                      <a:rPr lang="en-US"/>
                      <a:t> 53.6%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0478139902573226"/>
                  <c:y val="0.127252126916005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Advertising</a:t>
                    </a:r>
                  </a:p>
                  <a:p>
                    <a:r>
                      <a:rPr lang="en-US" sz="1200"/>
                      <a:t>7.4%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 i="0">
                    <a:latin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'Graph Data'!$A$12:$A$20</c:f>
              <c:strCache>
                <c:ptCount val="9"/>
                <c:pt idx="0">
                  <c:v>Direct Mail</c:v>
                </c:pt>
                <c:pt idx="1">
                  <c:v>Newsstand</c:v>
                </c:pt>
                <c:pt idx="2">
                  <c:v>Newsstand Inserts</c:v>
                </c:pt>
                <c:pt idx="3">
                  <c:v>Subscription Inserts</c:v>
                </c:pt>
                <c:pt idx="4">
                  <c:v>Low-Remit Agents</c:v>
                </c:pt>
                <c:pt idx="5">
                  <c:v>High-Remit Agents</c:v>
                </c:pt>
                <c:pt idx="6">
                  <c:v>Community</c:v>
                </c:pt>
                <c:pt idx="7">
                  <c:v>Conversions &amp; Renewals</c:v>
                </c:pt>
                <c:pt idx="8">
                  <c:v>Advertising</c:v>
                </c:pt>
              </c:strCache>
            </c:strRef>
          </c:cat>
          <c:val>
            <c:numRef>
              <c:f>'Graph Data'!$D$12:$D$20</c:f>
              <c:numCache>
                <c:formatCode>0.0%</c:formatCode>
                <c:ptCount val="9"/>
                <c:pt idx="0">
                  <c:v>0.139528568221262</c:v>
                </c:pt>
                <c:pt idx="1">
                  <c:v>0.09411206871796</c:v>
                </c:pt>
                <c:pt idx="2">
                  <c:v>0.0179366530968347</c:v>
                </c:pt>
                <c:pt idx="3">
                  <c:v>0.125839732061768</c:v>
                </c:pt>
                <c:pt idx="4">
                  <c:v>0.00787642851537207</c:v>
                </c:pt>
                <c:pt idx="5">
                  <c:v>0.00337561222087374</c:v>
                </c:pt>
                <c:pt idx="6">
                  <c:v>0.0</c:v>
                </c:pt>
                <c:pt idx="7">
                  <c:v>0.53751685011744</c:v>
                </c:pt>
                <c:pt idx="8">
                  <c:v>0.0738140870484897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autoTitleDeleted val="1"/>
    <c:plotArea>
      <c:layout/>
      <c:pieChart>
        <c:varyColors val="1"/>
        <c:ser>
          <c:idx val="0"/>
          <c:order val="0"/>
          <c:tx>
            <c:strRef>
              <c:f>'Graph Data'!$A$24</c:f>
              <c:strCache>
                <c:ptCount val="1"/>
                <c:pt idx="0">
                  <c:v>Apple</c:v>
                </c:pt>
              </c:strCache>
            </c:strRef>
          </c:tx>
          <c:dLbls>
            <c:dLbl>
              <c:idx val="0"/>
              <c:layout>
                <c:manualLayout>
                  <c:x val="-0.216053120611066"/>
                  <c:y val="-0.1226405983686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Apple</a:t>
                    </a:r>
                  </a:p>
                  <a:p>
                    <a:r>
                      <a:rPr lang="en-US"/>
                      <a:t> 59.0%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76087547098772"/>
                  <c:y val="-0.003389127600577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Amazon</a:t>
                    </a:r>
                  </a:p>
                  <a:p>
                    <a:r>
                      <a:rPr lang="en-US"/>
                      <a:t> 32.7%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713468920635483"/>
                  <c:y val="0.12537905730438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Barnes &amp; Noble</a:t>
                    </a:r>
                  </a:p>
                  <a:p>
                    <a:r>
                      <a:rPr lang="en-US"/>
                      <a:t> 8.4%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 i="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'Graph Data'!$A$24:$A$26</c:f>
              <c:strCache>
                <c:ptCount val="3"/>
                <c:pt idx="0">
                  <c:v>Apple</c:v>
                </c:pt>
                <c:pt idx="1">
                  <c:v>Amazon</c:v>
                </c:pt>
                <c:pt idx="2">
                  <c:v>Barnes &amp; Noble</c:v>
                </c:pt>
              </c:strCache>
            </c:strRef>
          </c:cat>
          <c:val>
            <c:numRef>
              <c:f>'Graph Data'!$D$24:$D$26</c:f>
              <c:numCache>
                <c:formatCode>0.0%</c:formatCode>
                <c:ptCount val="3"/>
                <c:pt idx="0">
                  <c:v>0.589771490750816</c:v>
                </c:pt>
                <c:pt idx="1">
                  <c:v>0.326508405320779</c:v>
                </c:pt>
                <c:pt idx="2">
                  <c:v>0.0837201039284049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autoTitleDeleted val="1"/>
    <c:plotArea>
      <c:layout/>
      <c:pieChart>
        <c:varyColors val="1"/>
        <c:ser>
          <c:idx val="2"/>
          <c:order val="0"/>
          <c:dLbls>
            <c:dLbl>
              <c:idx val="0"/>
              <c:layout>
                <c:manualLayout>
                  <c:x val="-0.144327504564259"/>
                  <c:y val="0.16211700871861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Online</a:t>
                    </a:r>
                  </a:p>
                  <a:p>
                    <a:r>
                      <a:rPr lang="en-US"/>
                      <a:t> 28.6%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04350398085388"/>
                  <c:y val="-0.322289887958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Magazine</a:t>
                    </a:r>
                  </a:p>
                  <a:p>
                    <a:r>
                      <a:rPr lang="en-US"/>
                      <a:t> 65.2%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Direct Retail 6.2%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 i="0">
                    <a:latin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'Graph Data'!$A$30:$A$32</c:f>
              <c:strCache>
                <c:ptCount val="3"/>
                <c:pt idx="0">
                  <c:v>Online</c:v>
                </c:pt>
                <c:pt idx="1">
                  <c:v>Magazine</c:v>
                </c:pt>
                <c:pt idx="2">
                  <c:v>Direct Retail</c:v>
                </c:pt>
              </c:strCache>
            </c:strRef>
          </c:cat>
          <c:val>
            <c:numRef>
              <c:f>'Graph Data'!$D$30:$D$32</c:f>
              <c:numCache>
                <c:formatCode>0.0%</c:formatCode>
                <c:ptCount val="3"/>
                <c:pt idx="0">
                  <c:v>0.272130902427136</c:v>
                </c:pt>
                <c:pt idx="1">
                  <c:v>0.664717907642895</c:v>
                </c:pt>
                <c:pt idx="2">
                  <c:v>0.0631511899299692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'Graph Data'!$A$71:$A$75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'Graph Data'!$B$71:$B$75</c:f>
              <c:numCache>
                <c:formatCode>_("$"* #,##0_);_("$"* \(#,##0\);_("$"* "-"_);_(@_)</c:formatCode>
                <c:ptCount val="5"/>
                <c:pt idx="0">
                  <c:v>511096.144439633</c:v>
                </c:pt>
                <c:pt idx="1">
                  <c:v>464539.118045439</c:v>
                </c:pt>
                <c:pt idx="2">
                  <c:v>1.13617373238238E6</c:v>
                </c:pt>
                <c:pt idx="3">
                  <c:v>2.67743132494055E6</c:v>
                </c:pt>
                <c:pt idx="4">
                  <c:v>4.65860659253503E6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200936"/>
        <c:axId val="800203944"/>
      </c:barChart>
      <c:catAx>
        <c:axId val="800200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en-US"/>
          </a:p>
        </c:txPr>
        <c:crossAx val="800203944"/>
        <c:crosses val="autoZero"/>
        <c:auto val="1"/>
        <c:lblAlgn val="ctr"/>
        <c:lblOffset val="100"/>
        <c:noMultiLvlLbl val="0"/>
      </c:catAx>
      <c:valAx>
        <c:axId val="800203944"/>
        <c:scaling>
          <c:orientation val="minMax"/>
        </c:scaling>
        <c:delete val="0"/>
        <c:axPos val="l"/>
        <c:numFmt formatCode="_(&quot;$&quot;* #,##0_);_(&quot;$&quot;* \(#,##0\);_(&quot;$&quot;* &quot;-&quot;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/>
              </a:defRPr>
            </a:pPr>
            <a:endParaRPr lang="en-US"/>
          </a:p>
        </c:txPr>
        <c:crossAx val="800200936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0988868007876899"/>
                  <c:y val="0.1636152589335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85926216040656"/>
                  <c:y val="-0.2703033451560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5407381657784"/>
                  <c:y val="-0.04240664531331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0758561655006"/>
                  <c:y val="0.1473196046811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 i="0" baseline="0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'Graph Data'!$A$65:$A$68</c:f>
              <c:strCache>
                <c:ptCount val="4"/>
                <c:pt idx="0">
                  <c:v>Magazines</c:v>
                </c:pt>
                <c:pt idx="1">
                  <c:v>Books &amp; Videos</c:v>
                </c:pt>
                <c:pt idx="2">
                  <c:v>Events</c:v>
                </c:pt>
                <c:pt idx="3">
                  <c:v>Sponsorships</c:v>
                </c:pt>
              </c:strCache>
            </c:strRef>
          </c:cat>
          <c:val>
            <c:numRef>
              <c:f>'Graph Data'!$B$65:$B$68</c:f>
              <c:numCache>
                <c:formatCode>_("$"* #,##0_);_("$"* \(#,##0\);_("$"* "-"_);_(@_)</c:formatCode>
                <c:ptCount val="4"/>
                <c:pt idx="0">
                  <c:v>807856.1698717396</c:v>
                </c:pt>
                <c:pt idx="1">
                  <c:v>2.62553255208315E6</c:v>
                </c:pt>
                <c:pt idx="2">
                  <c:v>605892.1274038047</c:v>
                </c:pt>
                <c:pt idx="3">
                  <c:v>1.2E6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0.134814814814815"/>
          <c:y val="0.0544662309368192"/>
          <c:w val="0.851851851851852"/>
          <c:h val="0.8474945533769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'Graph Data'!$A$2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Data'!$B$1:$F$1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'Graph Data'!$B$2:$F$2</c:f>
              <c:numCache>
                <c:formatCode>"$"#,##0_);[Red]\("$"#,##0\)</c:formatCode>
                <c:ptCount val="5"/>
                <c:pt idx="0">
                  <c:v>104963.496364512</c:v>
                </c:pt>
                <c:pt idx="1">
                  <c:v>487650.450900768</c:v>
                </c:pt>
                <c:pt idx="2">
                  <c:v>1.40336924113914E6</c:v>
                </c:pt>
                <c:pt idx="3">
                  <c:v>3.21156865643708E6</c:v>
                </c:pt>
                <c:pt idx="4">
                  <c:v>5.2392808493587E6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287704"/>
        <c:axId val="800292520"/>
      </c:barChart>
      <c:lineChart>
        <c:grouping val="standard"/>
        <c:varyColors val="0"/>
        <c:ser>
          <c:idx val="0"/>
          <c:order val="1"/>
          <c:tx>
            <c:v>Net Contributions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'Graph Data'!$B$3:$F$3</c:f>
              <c:numCache>
                <c:formatCode>"$"#,##0_);[Red]\("$"#,##0\)</c:formatCode>
                <c:ptCount val="5"/>
                <c:pt idx="0">
                  <c:v>-287223.6130661208</c:v>
                </c:pt>
                <c:pt idx="1">
                  <c:v>75224.64683443232</c:v>
                </c:pt>
                <c:pt idx="2">
                  <c:v>1.0301328154567E6</c:v>
                </c:pt>
                <c:pt idx="3">
                  <c:v>2.69250356917357E6</c:v>
                </c:pt>
                <c:pt idx="4">
                  <c:v>4.55563657179673E6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295800"/>
        <c:axId val="800299000"/>
      </c:lineChart>
      <c:catAx>
        <c:axId val="800287704"/>
        <c:scaling>
          <c:orientation val="minMax"/>
        </c:scaling>
        <c:delete val="0"/>
        <c:axPos val="b"/>
        <c:numFmt formatCode="0_);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292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0292520"/>
        <c:scaling>
          <c:orientation val="minMax"/>
        </c:scaling>
        <c:delete val="0"/>
        <c:axPos val="l"/>
        <c:numFmt formatCode="&quot;$&quot;#,##0_);[Red]\(&quot;$&quot;#,##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287704"/>
        <c:crosses val="autoZero"/>
        <c:crossBetween val="between"/>
      </c:valAx>
      <c:catAx>
        <c:axId val="800295800"/>
        <c:scaling>
          <c:orientation val="minMax"/>
        </c:scaling>
        <c:delete val="1"/>
        <c:axPos val="b"/>
        <c:majorTickMark val="out"/>
        <c:minorTickMark val="none"/>
        <c:tickLblPos val="nextTo"/>
        <c:crossAx val="800299000"/>
        <c:crosses val="autoZero"/>
        <c:auto val="0"/>
        <c:lblAlgn val="ctr"/>
        <c:lblOffset val="100"/>
        <c:noMultiLvlLbl val="0"/>
      </c:catAx>
      <c:valAx>
        <c:axId val="800299000"/>
        <c:scaling>
          <c:orientation val="minMax"/>
        </c:scaling>
        <c:delete val="1"/>
        <c:axPos val="l"/>
        <c:numFmt formatCode="&quot;$&quot;#,##0_);[Red]\(&quot;$&quot;#,##0\)" sourceLinked="1"/>
        <c:majorTickMark val="out"/>
        <c:minorTickMark val="none"/>
        <c:tickLblPos val="nextTo"/>
        <c:crossAx val="800295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2592592592593"/>
          <c:y val="0.952069188337625"/>
          <c:w val="0.371851851851852"/>
          <c:h val="0.045751633986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0.134814814814815"/>
          <c:y val="0.0544662309368192"/>
          <c:w val="0.851851851851852"/>
          <c:h val="0.847494553376906"/>
        </c:manualLayout>
      </c:layout>
      <c:barChart>
        <c:barDir val="col"/>
        <c:grouping val="clustered"/>
        <c:varyColors val="0"/>
        <c:ser>
          <c:idx val="1"/>
          <c:order val="0"/>
          <c:tx>
            <c:v>Website Visitors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Data'!$A$44:$A$48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'Graph Data'!$C$44:$C$48</c:f>
              <c:numCache>
                <c:formatCode>_(* #,##0_);_(* \(#,##0\);_(* "-"??_);_(@_)</c:formatCode>
                <c:ptCount val="5"/>
                <c:pt idx="0">
                  <c:v>74795.8757142857</c:v>
                </c:pt>
                <c:pt idx="1">
                  <c:v>822754.632857143</c:v>
                </c:pt>
                <c:pt idx="2">
                  <c:v>2.71509028842857E6</c:v>
                </c:pt>
                <c:pt idx="3">
                  <c:v>4.97766552878571E6</c:v>
                </c:pt>
                <c:pt idx="4">
                  <c:v>7.66560491433E6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819736"/>
        <c:axId val="800822760"/>
      </c:barChart>
      <c:lineChart>
        <c:grouping val="standard"/>
        <c:varyColors val="0"/>
        <c:ser>
          <c:idx val="0"/>
          <c:order val="1"/>
          <c:tx>
            <c:v>Email Subscribers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'Graph Data'!$D$44:$D$48</c:f>
              <c:numCache>
                <c:formatCode>_(* #,##0_);_(* \(#,##0\);_(* "-"??_);_(@_)</c:formatCode>
                <c:ptCount val="5"/>
                <c:pt idx="0">
                  <c:v>47484.856068</c:v>
                </c:pt>
                <c:pt idx="1">
                  <c:v>68198.04754080001</c:v>
                </c:pt>
                <c:pt idx="2">
                  <c:v>124354.62320208</c:v>
                </c:pt>
                <c:pt idx="3">
                  <c:v>227851.071650448</c:v>
                </c:pt>
                <c:pt idx="4">
                  <c:v>373117.5864346129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00056"/>
        <c:axId val="800803256"/>
      </c:lineChart>
      <c:catAx>
        <c:axId val="800819736"/>
        <c:scaling>
          <c:orientation val="minMax"/>
        </c:scaling>
        <c:delete val="0"/>
        <c:axPos val="b"/>
        <c:numFmt formatCode="0_);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822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0822760"/>
        <c:scaling>
          <c:orientation val="minMax"/>
        </c:scaling>
        <c:delete val="0"/>
        <c:axPos val="l"/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819736"/>
        <c:crosses val="autoZero"/>
        <c:crossBetween val="between"/>
      </c:valAx>
      <c:catAx>
        <c:axId val="800800056"/>
        <c:scaling>
          <c:orientation val="minMax"/>
        </c:scaling>
        <c:delete val="1"/>
        <c:axPos val="b"/>
        <c:majorTickMark val="out"/>
        <c:minorTickMark val="none"/>
        <c:tickLblPos val="nextTo"/>
        <c:crossAx val="800803256"/>
        <c:crosses val="autoZero"/>
        <c:auto val="0"/>
        <c:lblAlgn val="ctr"/>
        <c:lblOffset val="100"/>
        <c:noMultiLvlLbl val="0"/>
      </c:catAx>
      <c:valAx>
        <c:axId val="80080325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800800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2592592592593"/>
          <c:y val="0.952069188337625"/>
          <c:w val="0.371851851851852"/>
          <c:h val="0.045751633986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34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34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5" right="0.75" top="1" bottom="1" header="0.5" footer="0.5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34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34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4088" cy="58401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77239" cy="58382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577239" cy="58382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4088" cy="58401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4088" cy="58401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4088" cy="58401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4088" cy="58401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4088" cy="58401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77239" cy="58382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4088" cy="58401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77239" cy="58382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50" zoomScaleNormal="150" zoomScalePageLayoutView="150" workbookViewId="0">
      <selection activeCell="A5" sqref="A5"/>
    </sheetView>
  </sheetViews>
  <sheetFormatPr baseColWidth="10" defaultRowHeight="13" x14ac:dyDescent="0"/>
  <cols>
    <col min="1" max="1" width="27.42578125" bestFit="1" customWidth="1"/>
    <col min="2" max="2" width="13.140625" bestFit="1" customWidth="1"/>
    <col min="3" max="5" width="14" bestFit="1" customWidth="1"/>
  </cols>
  <sheetData>
    <row r="1" spans="1:5">
      <c r="A1" s="69" t="s">
        <v>234</v>
      </c>
    </row>
    <row r="2" spans="1:5">
      <c r="A2" s="69"/>
    </row>
    <row r="3" spans="1:5">
      <c r="B3" s="220" t="s">
        <v>18</v>
      </c>
      <c r="C3" s="220" t="s">
        <v>235</v>
      </c>
      <c r="D3" s="220" t="s">
        <v>236</v>
      </c>
      <c r="E3" s="220" t="s">
        <v>237</v>
      </c>
    </row>
    <row r="5" spans="1:5" s="69" customFormat="1">
      <c r="A5" s="69" t="s">
        <v>238</v>
      </c>
      <c r="B5" s="77">
        <f>+Summary!F27</f>
        <v>4658606.5925350338</v>
      </c>
      <c r="C5" s="235">
        <f>+B5*8</f>
        <v>37268852.740280271</v>
      </c>
      <c r="D5" s="235">
        <f>+B5*10</f>
        <v>46586065.925350338</v>
      </c>
      <c r="E5" s="235">
        <f>+B5*12</f>
        <v>55903279.110420406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="166" zoomScaleNormal="166" zoomScalePageLayoutView="166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RowHeight="13" x14ac:dyDescent="0"/>
  <cols>
    <col min="1" max="1" width="24" style="69" customWidth="1"/>
    <col min="2" max="2" width="12.7109375" style="69" bestFit="1" customWidth="1"/>
    <col min="3" max="3" width="12.7109375" style="69" customWidth="1"/>
    <col min="4" max="4" width="14.28515625" style="69" customWidth="1"/>
    <col min="5" max="5" width="13.7109375" style="69" customWidth="1"/>
    <col min="6" max="6" width="13.28515625" style="69" customWidth="1"/>
    <col min="7" max="16384" width="10.7109375" style="69"/>
  </cols>
  <sheetData>
    <row r="1" spans="1:6" s="107" customFormat="1">
      <c r="A1" s="107" t="s">
        <v>159</v>
      </c>
      <c r="B1" s="194"/>
    </row>
    <row r="2" spans="1:6" s="107" customFormat="1">
      <c r="A2" s="202" t="s">
        <v>274</v>
      </c>
      <c r="B2" s="194"/>
    </row>
    <row r="3" spans="1:6" s="107" customFormat="1">
      <c r="A3" s="202" t="s">
        <v>205</v>
      </c>
      <c r="B3" s="194"/>
    </row>
    <row r="4" spans="1:6" s="107" customFormat="1">
      <c r="A4" s="195">
        <f ca="1">NOW()</f>
        <v>39644.605327430552</v>
      </c>
      <c r="B4" s="196"/>
    </row>
    <row r="5" spans="1:6" s="197" customFormat="1" ht="14" thickBot="1">
      <c r="B5" s="137">
        <v>2012</v>
      </c>
      <c r="C5" s="138">
        <v>2013</v>
      </c>
      <c r="D5" s="138">
        <v>2014</v>
      </c>
      <c r="E5" s="138">
        <v>2015</v>
      </c>
      <c r="F5" s="138">
        <v>2016</v>
      </c>
    </row>
    <row r="6" spans="1:6">
      <c r="A6" s="69" t="s">
        <v>205</v>
      </c>
    </row>
    <row r="7" spans="1:6">
      <c r="A7" s="69" t="s">
        <v>206</v>
      </c>
    </row>
    <row r="8" spans="1:6">
      <c r="A8" s="69" t="s">
        <v>207</v>
      </c>
      <c r="B8" s="77">
        <f>+Online!B83</f>
        <v>104963.49636451202</v>
      </c>
      <c r="C8" s="77">
        <f>+Online!C83</f>
        <v>487650.45090076805</v>
      </c>
      <c r="D8" s="77">
        <f>+Online!D83</f>
        <v>1403369.2411391428</v>
      </c>
      <c r="E8" s="77">
        <f>+Online!E83</f>
        <v>3211568.6564370771</v>
      </c>
      <c r="F8" s="77">
        <f>+Online!F83</f>
        <v>5239280.8493586974</v>
      </c>
    </row>
    <row r="9" spans="1:6">
      <c r="A9" s="69" t="s">
        <v>208</v>
      </c>
      <c r="B9" s="77">
        <f>+Magazine!B33+Magazine!B57+Magazine!B67+Magazine!B86+Magazine!B102+Magazine!B118+Magazine!B134+Magazine!B168+Magazine!B220</f>
        <v>15013973.537983665</v>
      </c>
      <c r="C9" s="77">
        <f>+Magazine!C33+Magazine!C57+Magazine!C67+Magazine!C86+Magazine!C102+Magazine!C118+Magazine!C134+Magazine!C168+Magazine!C220</f>
        <v>14582512.296879334</v>
      </c>
      <c r="D9" s="77">
        <f>+Magazine!D33+Magazine!D57+Magazine!D67+Magazine!D86+Magazine!D102+Magazine!D118+Magazine!D134+Magazine!D168+Magazine!D220</f>
        <v>13973016.981729193</v>
      </c>
      <c r="E9" s="77">
        <f>+Magazine!E33+Magazine!E57+Magazine!E67+Magazine!E86+Magazine!E102+Magazine!E118+Magazine!E134+Magazine!E168+Magazine!E220</f>
        <v>13414245.92155904</v>
      </c>
      <c r="F9" s="77">
        <f>+Magazine!F33+Magazine!F57+Magazine!F67+Magazine!F86+Magazine!F102+Magazine!F118+Magazine!F134+Magazine!F168+Magazine!F220</f>
        <v>12797678.516763425</v>
      </c>
    </row>
    <row r="10" spans="1:6">
      <c r="A10" s="69" t="s">
        <v>209</v>
      </c>
      <c r="B10" s="77">
        <f>+'Digital Retail'!B7</f>
        <v>0</v>
      </c>
      <c r="C10" s="77">
        <f>+'Digital Retail'!C7</f>
        <v>177743.99999999997</v>
      </c>
      <c r="D10" s="77">
        <f>+'Digital Retail'!D7</f>
        <v>490581</v>
      </c>
      <c r="E10" s="77">
        <f>+'Digital Retail'!E7</f>
        <v>895859.99999999977</v>
      </c>
      <c r="F10" s="77">
        <f>+'Digital Retail'!F7</f>
        <v>1215837</v>
      </c>
    </row>
    <row r="11" spans="1:6">
      <c r="A11" s="69" t="s">
        <v>210</v>
      </c>
      <c r="B11" s="77">
        <f>SUM(B8:B10)</f>
        <v>15118937.034348177</v>
      </c>
      <c r="C11" s="77">
        <f>SUM(C8:C10)</f>
        <v>15247906.747780103</v>
      </c>
      <c r="D11" s="77">
        <f>SUM(D8:D10)</f>
        <v>15866967.222868335</v>
      </c>
      <c r="E11" s="77">
        <f>SUM(E8:E10)</f>
        <v>17521674.577996116</v>
      </c>
      <c r="F11" s="77">
        <f>SUM(F8:F10)</f>
        <v>19252796.366122123</v>
      </c>
    </row>
    <row r="12" spans="1:6" ht="9" customHeight="1">
      <c r="A12" s="45"/>
      <c r="B12" s="77"/>
      <c r="C12" s="77"/>
      <c r="D12" s="77"/>
      <c r="E12" s="77"/>
      <c r="F12" s="77"/>
    </row>
    <row r="13" spans="1:6">
      <c r="A13" s="68" t="s">
        <v>221</v>
      </c>
      <c r="B13" s="77"/>
      <c r="C13" s="77"/>
      <c r="D13" s="77"/>
      <c r="E13" s="77"/>
      <c r="F13" s="77"/>
    </row>
    <row r="14" spans="1:6">
      <c r="A14" s="69" t="s">
        <v>207</v>
      </c>
      <c r="B14" s="77">
        <f>+Online!B113</f>
        <v>392187.10943063279</v>
      </c>
      <c r="C14" s="77">
        <f>+Online!C113</f>
        <v>412425.80406633572</v>
      </c>
      <c r="D14" s="77">
        <f>+Online!D113</f>
        <v>373236.42568244663</v>
      </c>
      <c r="E14" s="77">
        <f>+Online!E113</f>
        <v>519065.08726350206</v>
      </c>
      <c r="F14" s="77">
        <f>+Online!F113</f>
        <v>683644.2775619633</v>
      </c>
    </row>
    <row r="15" spans="1:6">
      <c r="A15" s="69" t="s">
        <v>208</v>
      </c>
      <c r="B15" s="77">
        <f>+Magazine!B45+Magazine!B73+Magazine!B92+Magazine!B108+Magazine!B124+Magazine!B174+Magazine!B213</f>
        <v>11623653.780477911</v>
      </c>
      <c r="C15" s="77">
        <f>+Magazine!C45+Magazine!C73+Magazine!C92+Magazine!C108+Magazine!C124+Magazine!C174+Magazine!C213</f>
        <v>11270741.825668328</v>
      </c>
      <c r="D15" s="77">
        <f>+Magazine!D45+Magazine!D73+Magazine!D92+Magazine!D108+Magazine!D124+Magazine!D174+Magazine!D213</f>
        <v>10792957.064803505</v>
      </c>
      <c r="E15" s="77">
        <f>+Magazine!E45+Magazine!E73+Magazine!E92+Magazine!E108+Magazine!E124+Magazine!E174+Magazine!E213</f>
        <v>10279978.165792067</v>
      </c>
      <c r="F15" s="77">
        <f>+Magazine!F45+Magazine!F73+Magazine!F92+Magazine!F108+Magazine!F124+Magazine!F174+Magazine!F213</f>
        <v>9816745.4960251246</v>
      </c>
    </row>
    <row r="16" spans="1:6">
      <c r="A16" s="69" t="s">
        <v>209</v>
      </c>
      <c r="B16" s="77">
        <f>+'Digital Retail'!B41</f>
        <v>0</v>
      </c>
      <c r="C16" s="77">
        <f>+'Digital Retail'!C41</f>
        <v>76200</v>
      </c>
      <c r="D16" s="77">
        <f>+'Digital Retail'!D41</f>
        <v>108600</v>
      </c>
      <c r="E16" s="77">
        <f>+'Digital Retail'!E41</f>
        <v>157200</v>
      </c>
      <c r="F16" s="77">
        <f>+'Digital Retail'!F41</f>
        <v>205800</v>
      </c>
    </row>
    <row r="17" spans="1:6">
      <c r="A17" s="69" t="s">
        <v>214</v>
      </c>
      <c r="B17" s="77">
        <f>SUM(B14:B16)</f>
        <v>12015840.889908545</v>
      </c>
      <c r="C17" s="77">
        <f t="shared" ref="C17:F17" si="0">SUM(C14:C16)</f>
        <v>11759367.629734663</v>
      </c>
      <c r="D17" s="77">
        <f t="shared" si="0"/>
        <v>11274793.490485951</v>
      </c>
      <c r="E17" s="77">
        <f t="shared" si="0"/>
        <v>10956243.253055569</v>
      </c>
      <c r="F17" s="77">
        <f t="shared" si="0"/>
        <v>10706189.773587087</v>
      </c>
    </row>
    <row r="18" spans="1:6" ht="7" customHeight="1">
      <c r="A18"/>
      <c r="B18" s="77"/>
      <c r="C18" s="77"/>
      <c r="D18" s="77"/>
      <c r="E18" s="77"/>
      <c r="F18" s="77"/>
    </row>
    <row r="19" spans="1:6" s="129" customFormat="1">
      <c r="A19" s="129" t="s">
        <v>219</v>
      </c>
      <c r="B19" s="198"/>
      <c r="C19" s="198"/>
      <c r="D19" s="198"/>
      <c r="E19" s="198"/>
      <c r="F19" s="198"/>
    </row>
    <row r="20" spans="1:6" s="129" customFormat="1">
      <c r="A20" s="129" t="s">
        <v>207</v>
      </c>
      <c r="B20" s="198">
        <f>+B8-B14</f>
        <v>-287223.61306612077</v>
      </c>
      <c r="C20" s="198">
        <f t="shared" ref="C20:F20" si="1">+C8-C14</f>
        <v>75224.646834432322</v>
      </c>
      <c r="D20" s="198">
        <f t="shared" si="1"/>
        <v>1030132.8154566961</v>
      </c>
      <c r="E20" s="198">
        <f t="shared" si="1"/>
        <v>2692503.5691735749</v>
      </c>
      <c r="F20" s="198">
        <f t="shared" si="1"/>
        <v>4555636.5717967339</v>
      </c>
    </row>
    <row r="21" spans="1:6" s="129" customFormat="1">
      <c r="A21" s="129" t="s">
        <v>208</v>
      </c>
      <c r="B21" s="198">
        <f>+B9-B15</f>
        <v>3390319.757505754</v>
      </c>
      <c r="C21" s="198">
        <f t="shared" ref="C21:F21" si="2">+C9-C15</f>
        <v>3311770.4712110069</v>
      </c>
      <c r="D21" s="198">
        <f t="shared" si="2"/>
        <v>3180059.9169256873</v>
      </c>
      <c r="E21" s="198">
        <f t="shared" si="2"/>
        <v>3134267.7557669729</v>
      </c>
      <c r="F21" s="198">
        <f t="shared" si="2"/>
        <v>2980933.0207382999</v>
      </c>
    </row>
    <row r="22" spans="1:6" s="129" customFormat="1">
      <c r="A22" s="129" t="s">
        <v>209</v>
      </c>
      <c r="B22" s="198">
        <f>+B10-B16</f>
        <v>0</v>
      </c>
      <c r="C22" s="198">
        <f t="shared" ref="C22:F22" si="3">+C10-C16</f>
        <v>101543.99999999997</v>
      </c>
      <c r="D22" s="198">
        <f t="shared" si="3"/>
        <v>381981</v>
      </c>
      <c r="E22" s="198">
        <f t="shared" si="3"/>
        <v>738659.99999999977</v>
      </c>
      <c r="F22" s="198">
        <f t="shared" si="3"/>
        <v>1010037</v>
      </c>
    </row>
    <row r="23" spans="1:6" s="129" customFormat="1">
      <c r="A23" s="129" t="s">
        <v>220</v>
      </c>
      <c r="B23" s="198">
        <f>SUM(B20:B22)</f>
        <v>3103096.144439633</v>
      </c>
      <c r="C23" s="198">
        <f t="shared" ref="C23:F23" si="4">SUM(C20:C22)</f>
        <v>3488539.118045439</v>
      </c>
      <c r="D23" s="198">
        <f t="shared" si="4"/>
        <v>4592173.7323823832</v>
      </c>
      <c r="E23" s="198">
        <f t="shared" si="4"/>
        <v>6565431.3249405473</v>
      </c>
      <c r="F23" s="198">
        <f t="shared" si="4"/>
        <v>8546606.5925350338</v>
      </c>
    </row>
    <row r="24" spans="1:6" s="129" customFormat="1" ht="8" customHeight="1">
      <c r="B24" s="198"/>
      <c r="C24" s="198"/>
      <c r="D24" s="198"/>
      <c r="E24" s="198"/>
      <c r="F24" s="198"/>
    </row>
    <row r="25" spans="1:6" s="129" customFormat="1">
      <c r="A25" s="129" t="s">
        <v>218</v>
      </c>
      <c r="B25" s="198">
        <f>-Overhead!B11</f>
        <v>-2592000</v>
      </c>
      <c r="C25" s="198">
        <f>-Overhead!C11</f>
        <v>-3024000</v>
      </c>
      <c r="D25" s="198">
        <f>-Overhead!D11</f>
        <v>-3456000</v>
      </c>
      <c r="E25" s="198">
        <f>-Overhead!E11</f>
        <v>-3888000</v>
      </c>
      <c r="F25" s="198">
        <f>-Overhead!F11</f>
        <v>-3888000</v>
      </c>
    </row>
    <row r="26" spans="1:6" s="129" customFormat="1" ht="10" customHeight="1">
      <c r="A26" s="85"/>
      <c r="B26" s="198"/>
      <c r="C26" s="198"/>
      <c r="D26" s="198"/>
      <c r="E26" s="198"/>
      <c r="F26" s="198"/>
    </row>
    <row r="27" spans="1:6" s="129" customFormat="1">
      <c r="A27" s="129" t="s">
        <v>215</v>
      </c>
      <c r="B27" s="198">
        <f>+B23+B25</f>
        <v>511096.144439633</v>
      </c>
      <c r="C27" s="198">
        <f t="shared" ref="C27:F27" si="5">+C23+C25</f>
        <v>464539.11804543901</v>
      </c>
      <c r="D27" s="198">
        <f t="shared" si="5"/>
        <v>1136173.7323823832</v>
      </c>
      <c r="E27" s="198">
        <f t="shared" si="5"/>
        <v>2677431.3249405473</v>
      </c>
      <c r="F27" s="198">
        <f t="shared" si="5"/>
        <v>4658606.5925350338</v>
      </c>
    </row>
    <row r="28" spans="1:6" s="129" customFormat="1">
      <c r="A28" s="85" t="s">
        <v>216</v>
      </c>
      <c r="B28" s="234">
        <f>+B27/B11</f>
        <v>3.3805031615548882E-2</v>
      </c>
      <c r="C28" s="234">
        <f>+C27/C11</f>
        <v>3.0465763316205347E-2</v>
      </c>
      <c r="D28" s="234">
        <f>+D27/D11</f>
        <v>7.1606231765883266E-2</v>
      </c>
      <c r="E28" s="234">
        <f>+E27/E11</f>
        <v>0.15280681723782788</v>
      </c>
      <c r="F28" s="234">
        <f>+F27/F11</f>
        <v>0.24197038725930103</v>
      </c>
    </row>
    <row r="29" spans="1:6" s="129" customFormat="1" ht="9" customHeight="1">
      <c r="A29" s="85"/>
      <c r="B29" s="198"/>
      <c r="C29" s="198"/>
      <c r="D29" s="198"/>
      <c r="E29" s="198"/>
      <c r="F29" s="198"/>
    </row>
    <row r="30" spans="1:6" s="129" customFormat="1">
      <c r="A30" s="129" t="s">
        <v>217</v>
      </c>
      <c r="B30" s="198">
        <f>+B27</f>
        <v>511096.144439633</v>
      </c>
      <c r="C30" s="198">
        <f>+B30+C27</f>
        <v>975635.26248507202</v>
      </c>
      <c r="D30" s="198">
        <f>+C30+D27</f>
        <v>2111808.9948674552</v>
      </c>
      <c r="E30" s="198">
        <f>+D30+E27</f>
        <v>4789240.3198080026</v>
      </c>
      <c r="F30" s="198">
        <f>+E30+F27</f>
        <v>9447846.9123430364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115"/>
  <sheetViews>
    <sheetView zoomScale="170" zoomScaleNormal="170" zoomScalePageLayoutView="170" workbookViewId="0">
      <pane xSplit="1" ySplit="5" topLeftCell="B6" activePane="bottomRight" state="frozenSplit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RowHeight="13" x14ac:dyDescent="0"/>
  <cols>
    <col min="1" max="1" width="32.140625" bestFit="1" customWidth="1"/>
    <col min="2" max="2" width="15.140625" style="6" bestFit="1" customWidth="1"/>
    <col min="3" max="6" width="15.140625" bestFit="1" customWidth="1"/>
  </cols>
  <sheetData>
    <row r="1" spans="1:6" s="2" customFormat="1">
      <c r="A1" s="107" t="s">
        <v>159</v>
      </c>
      <c r="B1" s="5"/>
    </row>
    <row r="2" spans="1:6" s="2" customFormat="1">
      <c r="A2" s="202" t="s">
        <v>274</v>
      </c>
      <c r="B2" s="5"/>
    </row>
    <row r="3" spans="1:6" s="2" customFormat="1">
      <c r="A3" s="202" t="s">
        <v>173</v>
      </c>
      <c r="B3" s="5"/>
    </row>
    <row r="4" spans="1:6" s="2" customFormat="1">
      <c r="A4" s="156">
        <f ca="1">NOW()</f>
        <v>39644.605327430552</v>
      </c>
      <c r="B4" s="84"/>
    </row>
    <row r="5" spans="1:6" s="3" customFormat="1" ht="14" thickBot="1">
      <c r="B5" s="89">
        <v>2012</v>
      </c>
      <c r="C5" s="4">
        <v>2013</v>
      </c>
      <c r="D5" s="4">
        <v>2014</v>
      </c>
      <c r="E5" s="4">
        <v>2015</v>
      </c>
      <c r="F5" s="4">
        <v>2016</v>
      </c>
    </row>
    <row r="6" spans="1:6" s="69" customFormat="1">
      <c r="A6" s="94" t="s">
        <v>163</v>
      </c>
      <c r="B6" s="188"/>
      <c r="C6" s="188"/>
      <c r="D6" s="188"/>
      <c r="E6" s="188"/>
      <c r="F6" s="188"/>
    </row>
    <row r="7" spans="1:6" s="222" customFormat="1">
      <c r="A7" s="68" t="s">
        <v>240</v>
      </c>
      <c r="B7" s="223"/>
      <c r="C7" s="224"/>
      <c r="D7" s="224"/>
      <c r="E7" s="224"/>
      <c r="F7" s="224"/>
    </row>
    <row r="8" spans="1:6" s="222" customFormat="1">
      <c r="A8" s="123" t="s">
        <v>241</v>
      </c>
      <c r="B8" s="227">
        <f>+B63</f>
        <v>1256.5707119999997</v>
      </c>
      <c r="C8" s="227">
        <f t="shared" ref="C8:F8" si="0">+C63</f>
        <v>55289.111328000006</v>
      </c>
      <c r="D8" s="227">
        <f t="shared" si="0"/>
        <v>228067.58422800002</v>
      </c>
      <c r="E8" s="227">
        <f t="shared" si="0"/>
        <v>418123.90441800008</v>
      </c>
      <c r="F8" s="227">
        <f t="shared" si="0"/>
        <v>643910.81280372024</v>
      </c>
    </row>
    <row r="9" spans="1:6" s="222" customFormat="1">
      <c r="A9" s="123" t="s">
        <v>242</v>
      </c>
      <c r="B9" s="227">
        <f>+B75</f>
        <v>103706.92565251201</v>
      </c>
      <c r="C9" s="227">
        <f t="shared" ref="C9:F9" si="1">+C75</f>
        <v>372361.33957276802</v>
      </c>
      <c r="D9" s="227">
        <f t="shared" si="1"/>
        <v>905301.65691114264</v>
      </c>
      <c r="E9" s="227">
        <f t="shared" si="1"/>
        <v>2073444.7520190771</v>
      </c>
      <c r="F9" s="227">
        <f t="shared" si="1"/>
        <v>3395370.0365549773</v>
      </c>
    </row>
    <row r="10" spans="1:6" s="222" customFormat="1">
      <c r="A10" s="123" t="s">
        <v>82</v>
      </c>
      <c r="B10" s="227">
        <f>+B80</f>
        <v>0</v>
      </c>
      <c r="C10" s="227">
        <f t="shared" ref="C10:F10" si="2">+C80</f>
        <v>60000</v>
      </c>
      <c r="D10" s="227">
        <f t="shared" si="2"/>
        <v>270000</v>
      </c>
      <c r="E10" s="227">
        <f t="shared" si="2"/>
        <v>720000</v>
      </c>
      <c r="F10" s="227">
        <f t="shared" si="2"/>
        <v>1200000</v>
      </c>
    </row>
    <row r="11" spans="1:6" s="81" customFormat="1">
      <c r="A11" s="68" t="s">
        <v>210</v>
      </c>
      <c r="B11" s="228">
        <f>SUM(B8:B10)</f>
        <v>104963.49636451202</v>
      </c>
      <c r="C11" s="228">
        <f t="shared" ref="C11:F11" si="3">SUM(C8:C10)</f>
        <v>487650.45090076805</v>
      </c>
      <c r="D11" s="228">
        <f t="shared" si="3"/>
        <v>1403369.2411391428</v>
      </c>
      <c r="E11" s="228">
        <f t="shared" si="3"/>
        <v>3211568.6564370771</v>
      </c>
      <c r="F11" s="228">
        <f t="shared" si="3"/>
        <v>5239280.8493586974</v>
      </c>
    </row>
    <row r="12" spans="1:6" s="222" customFormat="1">
      <c r="A12" s="45"/>
      <c r="B12" s="227"/>
      <c r="C12" s="227"/>
      <c r="D12" s="227"/>
      <c r="E12" s="227"/>
      <c r="F12" s="227"/>
    </row>
    <row r="13" spans="1:6" s="222" customFormat="1">
      <c r="A13" s="68" t="s">
        <v>183</v>
      </c>
      <c r="B13" s="227"/>
      <c r="C13" s="227"/>
      <c r="D13" s="227"/>
      <c r="E13" s="227"/>
      <c r="F13" s="227"/>
    </row>
    <row r="14" spans="1:6" s="222" customFormat="1">
      <c r="A14" s="123" t="s">
        <v>211</v>
      </c>
      <c r="B14" s="227">
        <f>+B95</f>
        <v>260000</v>
      </c>
      <c r="C14" s="227">
        <f t="shared" ref="C14:F14" si="4">+C95</f>
        <v>260000</v>
      </c>
      <c r="D14" s="227">
        <f t="shared" si="4"/>
        <v>130000</v>
      </c>
      <c r="E14" s="227">
        <f t="shared" si="4"/>
        <v>130000</v>
      </c>
      <c r="F14" s="227">
        <f t="shared" si="4"/>
        <v>130000</v>
      </c>
    </row>
    <row r="15" spans="1:6" s="222" customFormat="1">
      <c r="A15" s="139" t="s">
        <v>212</v>
      </c>
      <c r="B15" s="227">
        <f>+B102</f>
        <v>3148.9048909353605</v>
      </c>
      <c r="C15" s="227">
        <f t="shared" ref="C15:F15" si="5">+C102</f>
        <v>16678.367585129952</v>
      </c>
      <c r="D15" s="227">
        <f t="shared" si="5"/>
        <v>57235.146677526704</v>
      </c>
      <c r="E15" s="227">
        <f t="shared" si="5"/>
        <v>144510.98207335049</v>
      </c>
      <c r="F15" s="227">
        <f t="shared" si="5"/>
        <v>234278.28926280449</v>
      </c>
    </row>
    <row r="16" spans="1:6" s="222" customFormat="1">
      <c r="A16" s="123" t="s">
        <v>213</v>
      </c>
      <c r="B16" s="227">
        <f>+B111</f>
        <v>129038.20453969744</v>
      </c>
      <c r="C16" s="227">
        <f t="shared" ref="C16:F16" si="6">+C111</f>
        <v>135747.43648120575</v>
      </c>
      <c r="D16" s="227">
        <f t="shared" si="6"/>
        <v>186001.27900491992</v>
      </c>
      <c r="E16" s="227">
        <f t="shared" si="6"/>
        <v>244554.1051901516</v>
      </c>
      <c r="F16" s="227">
        <f t="shared" si="6"/>
        <v>319365.98829915881</v>
      </c>
    </row>
    <row r="17" spans="1:6" s="81" customFormat="1">
      <c r="A17" s="69" t="s">
        <v>214</v>
      </c>
      <c r="B17" s="228">
        <f>SUM(B14:B16)</f>
        <v>392187.10943063279</v>
      </c>
      <c r="C17" s="228">
        <f t="shared" ref="C17:F17" si="7">SUM(C14:C16)</f>
        <v>412425.80406633572</v>
      </c>
      <c r="D17" s="228">
        <f t="shared" si="7"/>
        <v>373236.42568244663</v>
      </c>
      <c r="E17" s="228">
        <f t="shared" si="7"/>
        <v>519065.08726350206</v>
      </c>
      <c r="F17" s="228">
        <f t="shared" si="7"/>
        <v>683644.2775619633</v>
      </c>
    </row>
    <row r="18" spans="1:6" s="222" customFormat="1">
      <c r="A18"/>
      <c r="B18" s="227"/>
      <c r="C18" s="227"/>
      <c r="D18" s="227"/>
      <c r="E18" s="227"/>
      <c r="F18" s="227"/>
    </row>
    <row r="19" spans="1:6" s="81" customFormat="1">
      <c r="A19" s="233" t="s">
        <v>243</v>
      </c>
      <c r="B19" s="228">
        <f>+B11-B17</f>
        <v>-287223.61306612077</v>
      </c>
      <c r="C19" s="228">
        <f t="shared" ref="C19:F19" si="8">+C11-C17</f>
        <v>75224.646834432322</v>
      </c>
      <c r="D19" s="228">
        <f t="shared" si="8"/>
        <v>1030132.8154566961</v>
      </c>
      <c r="E19" s="228">
        <f t="shared" si="8"/>
        <v>2692503.5691735749</v>
      </c>
      <c r="F19" s="228">
        <f t="shared" si="8"/>
        <v>4555636.5717967339</v>
      </c>
    </row>
    <row r="20" spans="1:6" s="229" customFormat="1" ht="14" thickBot="1">
      <c r="B20" s="230"/>
      <c r="C20" s="231"/>
      <c r="D20" s="231"/>
      <c r="E20" s="231"/>
      <c r="F20" s="231"/>
    </row>
    <row r="21" spans="1:6" s="222" customFormat="1">
      <c r="B21" s="225"/>
      <c r="C21" s="226"/>
      <c r="D21" s="226"/>
      <c r="E21" s="226"/>
      <c r="F21" s="226"/>
    </row>
    <row r="22" spans="1:6" s="81" customFormat="1">
      <c r="A22" s="91" t="s">
        <v>70</v>
      </c>
      <c r="B22" s="82"/>
      <c r="C22" s="83"/>
      <c r="D22" s="83"/>
      <c r="E22" s="83"/>
      <c r="F22" s="83"/>
    </row>
    <row r="23" spans="1:6">
      <c r="A23" s="92" t="s">
        <v>28</v>
      </c>
      <c r="B23" s="201">
        <v>69809484</v>
      </c>
      <c r="C23" s="39">
        <f>+B23</f>
        <v>69809484</v>
      </c>
      <c r="D23" s="39">
        <f t="shared" ref="D23:F23" si="9">+C23</f>
        <v>69809484</v>
      </c>
      <c r="E23" s="39">
        <f t="shared" si="9"/>
        <v>69809484</v>
      </c>
      <c r="F23" s="39">
        <f t="shared" si="9"/>
        <v>69809484</v>
      </c>
    </row>
    <row r="24" spans="1:6">
      <c r="A24" s="92" t="s">
        <v>3</v>
      </c>
      <c r="B24" s="39">
        <v>5</v>
      </c>
      <c r="C24" s="39">
        <v>5</v>
      </c>
      <c r="D24" s="39">
        <v>5</v>
      </c>
      <c r="E24" s="39">
        <v>5</v>
      </c>
      <c r="F24" s="39">
        <v>5</v>
      </c>
    </row>
    <row r="25" spans="1:6">
      <c r="A25" s="92" t="s">
        <v>29</v>
      </c>
      <c r="B25" s="50">
        <f>+B23*B24</f>
        <v>349047420</v>
      </c>
      <c r="C25" s="50">
        <f t="shared" ref="C25:F25" si="10">+C23*C24</f>
        <v>349047420</v>
      </c>
      <c r="D25" s="50">
        <f t="shared" si="10"/>
        <v>349047420</v>
      </c>
      <c r="E25" s="50">
        <f t="shared" si="10"/>
        <v>349047420</v>
      </c>
      <c r="F25" s="50">
        <f t="shared" si="10"/>
        <v>349047420</v>
      </c>
    </row>
    <row r="26" spans="1:6" s="9" customFormat="1">
      <c r="A26" s="93" t="s">
        <v>14</v>
      </c>
      <c r="B26" s="40">
        <v>2E-3</v>
      </c>
      <c r="C26" s="40">
        <v>0.02</v>
      </c>
      <c r="D26" s="40">
        <v>0.06</v>
      </c>
      <c r="E26" s="53">
        <v>0.1</v>
      </c>
      <c r="F26" s="53">
        <v>0.14000000000000001</v>
      </c>
    </row>
    <row r="27" spans="1:6" s="9" customFormat="1">
      <c r="A27" s="93" t="s">
        <v>1</v>
      </c>
      <c r="B27" s="52">
        <f>(+B25*B26)</f>
        <v>698094.84</v>
      </c>
      <c r="C27" s="52">
        <f t="shared" ref="C27:F27" si="11">+C25*C26</f>
        <v>6980948.4000000004</v>
      </c>
      <c r="D27" s="52">
        <f t="shared" si="11"/>
        <v>20942845.199999999</v>
      </c>
      <c r="E27" s="52">
        <f t="shared" si="11"/>
        <v>34904742</v>
      </c>
      <c r="F27" s="52">
        <f t="shared" si="11"/>
        <v>48866638.800000004</v>
      </c>
    </row>
    <row r="28" spans="1:6" s="9" customFormat="1">
      <c r="A28" s="93" t="s">
        <v>0</v>
      </c>
      <c r="B28" s="53">
        <v>0.1</v>
      </c>
      <c r="C28" s="55">
        <f>+B28*1.1</f>
        <v>0.11000000000000001</v>
      </c>
      <c r="D28" s="55">
        <f>+C28*1.1</f>
        <v>0.12100000000000002</v>
      </c>
      <c r="E28" s="55">
        <f>+D28*1.1</f>
        <v>0.13310000000000002</v>
      </c>
      <c r="F28" s="55">
        <f>+E28*1.1</f>
        <v>0.14641000000000004</v>
      </c>
    </row>
    <row r="29" spans="1:6">
      <c r="A29" s="92" t="s">
        <v>25</v>
      </c>
      <c r="B29" s="7">
        <f>+B27*B28</f>
        <v>69809.483999999997</v>
      </c>
      <c r="C29" s="7">
        <f t="shared" ref="C29:F29" si="12">+C27*C28</f>
        <v>767904.32400000014</v>
      </c>
      <c r="D29" s="7">
        <f t="shared" si="12"/>
        <v>2534084.2692000004</v>
      </c>
      <c r="E29" s="7">
        <f t="shared" si="12"/>
        <v>4645821.1602000007</v>
      </c>
      <c r="F29" s="7">
        <f t="shared" si="12"/>
        <v>7154564.5867080027</v>
      </c>
    </row>
    <row r="30" spans="1:6">
      <c r="A30" s="93" t="s">
        <v>4</v>
      </c>
      <c r="B30" s="54">
        <v>0.3</v>
      </c>
      <c r="C30" s="56">
        <f>+B30</f>
        <v>0.3</v>
      </c>
      <c r="D30" s="56">
        <f>+C30</f>
        <v>0.3</v>
      </c>
      <c r="E30" s="56">
        <f>+D30</f>
        <v>0.3</v>
      </c>
      <c r="F30" s="56">
        <f>+E30</f>
        <v>0.3</v>
      </c>
    </row>
    <row r="31" spans="1:6">
      <c r="A31" s="92" t="s">
        <v>26</v>
      </c>
      <c r="B31" s="7">
        <f>+B29*B30</f>
        <v>20942.8452</v>
      </c>
      <c r="C31" s="7">
        <f t="shared" ref="C31:F31" si="13">+C29*C30</f>
        <v>230371.29720000003</v>
      </c>
      <c r="D31" s="7">
        <f t="shared" si="13"/>
        <v>760225.28076000011</v>
      </c>
      <c r="E31" s="7">
        <f t="shared" si="13"/>
        <v>1393746.3480600002</v>
      </c>
      <c r="F31" s="7">
        <f t="shared" si="13"/>
        <v>2146369.3760124007</v>
      </c>
    </row>
    <row r="32" spans="1:6">
      <c r="A32" s="93" t="s">
        <v>2</v>
      </c>
      <c r="B32" s="54">
        <v>0.2</v>
      </c>
      <c r="C32" s="56">
        <f>+B32</f>
        <v>0.2</v>
      </c>
      <c r="D32" s="56">
        <f>+C32</f>
        <v>0.2</v>
      </c>
      <c r="E32" s="56">
        <f>+D32</f>
        <v>0.2</v>
      </c>
      <c r="F32" s="56">
        <f>+E32</f>
        <v>0.2</v>
      </c>
    </row>
    <row r="33" spans="1:6">
      <c r="A33" s="92" t="s">
        <v>27</v>
      </c>
      <c r="B33" s="7">
        <f>+B29*B32</f>
        <v>13961.8968</v>
      </c>
      <c r="C33" s="7">
        <f t="shared" ref="C33:F33" si="14">+C29*C32</f>
        <v>153580.86480000004</v>
      </c>
      <c r="D33" s="7">
        <f t="shared" si="14"/>
        <v>506816.85384000011</v>
      </c>
      <c r="E33" s="7">
        <f t="shared" si="14"/>
        <v>929164.23204000015</v>
      </c>
      <c r="F33" s="7">
        <f t="shared" si="14"/>
        <v>1430912.9173416006</v>
      </c>
    </row>
    <row r="34" spans="1:6">
      <c r="A34" s="93" t="s">
        <v>292</v>
      </c>
      <c r="B34" s="54">
        <v>0</v>
      </c>
      <c r="C34" s="56">
        <f>+B34</f>
        <v>0</v>
      </c>
      <c r="D34" s="56">
        <f>+C34</f>
        <v>0</v>
      </c>
      <c r="E34" s="56">
        <f>+D34</f>
        <v>0</v>
      </c>
      <c r="F34" s="56">
        <f>+E34</f>
        <v>0</v>
      </c>
    </row>
    <row r="35" spans="1:6">
      <c r="A35" s="92" t="s">
        <v>293</v>
      </c>
      <c r="B35" s="7">
        <f>+B29*B34</f>
        <v>0</v>
      </c>
      <c r="C35" s="7">
        <f t="shared" ref="C35:F35" si="15">+C29*C34</f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</row>
    <row r="36" spans="1:6" s="10" customFormat="1">
      <c r="A36" s="94" t="s">
        <v>67</v>
      </c>
      <c r="B36" s="11">
        <f t="shared" ref="B36:F36" si="16">+B29+B31+B33+B35</f>
        <v>104714.226</v>
      </c>
      <c r="C36" s="11">
        <f t="shared" si="16"/>
        <v>1151856.4860000003</v>
      </c>
      <c r="D36" s="11">
        <f t="shared" si="16"/>
        <v>3801126.4038000004</v>
      </c>
      <c r="E36" s="11">
        <f t="shared" si="16"/>
        <v>6968731.7403000006</v>
      </c>
      <c r="F36" s="11">
        <f t="shared" si="16"/>
        <v>10731846.880062005</v>
      </c>
    </row>
    <row r="37" spans="1:6">
      <c r="A37" s="92"/>
      <c r="B37" s="78"/>
      <c r="C37" s="6"/>
      <c r="D37" s="6"/>
      <c r="E37" s="6"/>
      <c r="F37" s="6"/>
    </row>
    <row r="38" spans="1:6">
      <c r="A38" s="94" t="s">
        <v>71</v>
      </c>
      <c r="B38" s="78"/>
      <c r="C38" s="6"/>
      <c r="D38" s="6"/>
      <c r="E38" s="6"/>
      <c r="F38" s="6"/>
    </row>
    <row r="39" spans="1:6">
      <c r="A39" s="92" t="s">
        <v>5</v>
      </c>
      <c r="B39" s="41">
        <v>42000</v>
      </c>
      <c r="C39" s="6">
        <f>B46</f>
        <v>52969.712136000002</v>
      </c>
      <c r="D39" s="6">
        <f t="shared" ref="D39:F39" si="17">C46</f>
        <v>83426.382945600009</v>
      </c>
      <c r="E39" s="6">
        <f t="shared" si="17"/>
        <v>165282.86345856002</v>
      </c>
      <c r="F39" s="6">
        <f t="shared" si="17"/>
        <v>290419.27984233602</v>
      </c>
    </row>
    <row r="40" spans="1:6">
      <c r="A40" s="95" t="s">
        <v>19</v>
      </c>
      <c r="B40" s="57">
        <v>0.06</v>
      </c>
      <c r="C40" s="57">
        <v>0.04</v>
      </c>
      <c r="D40" s="59">
        <f>+C40</f>
        <v>0.04</v>
      </c>
      <c r="E40" s="59">
        <f>+D40</f>
        <v>0.04</v>
      </c>
      <c r="F40" s="59">
        <f>+E40</f>
        <v>0.04</v>
      </c>
    </row>
    <row r="41" spans="1:6">
      <c r="A41" s="92" t="s">
        <v>20</v>
      </c>
      <c r="B41" s="6">
        <f>B40*B36</f>
        <v>6282.8535599999996</v>
      </c>
      <c r="C41" s="6">
        <f>C40*C36</f>
        <v>46074.259440000009</v>
      </c>
      <c r="D41" s="6">
        <f>D40*D36</f>
        <v>152045.05615200003</v>
      </c>
      <c r="E41" s="6">
        <f>E40*E36</f>
        <v>278749.26961200003</v>
      </c>
      <c r="F41" s="6">
        <f>F40*F36</f>
        <v>429273.87520248018</v>
      </c>
    </row>
    <row r="42" spans="1:6" s="45" customFormat="1">
      <c r="A42" s="95" t="s">
        <v>78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</row>
    <row r="43" spans="1:6" s="45" customFormat="1">
      <c r="A43" s="95" t="s">
        <v>77</v>
      </c>
      <c r="B43" s="88">
        <v>40000</v>
      </c>
      <c r="C43" s="88">
        <v>40000</v>
      </c>
      <c r="D43" s="88">
        <v>40000</v>
      </c>
      <c r="E43" s="88">
        <v>40000</v>
      </c>
      <c r="F43" s="88">
        <v>40000</v>
      </c>
    </row>
    <row r="44" spans="1:6" s="66" customFormat="1">
      <c r="A44" s="96" t="s">
        <v>42</v>
      </c>
      <c r="B44" s="58">
        <f>SUM(B41:B43)</f>
        <v>46282.853560000003</v>
      </c>
      <c r="C44" s="58">
        <f>SUM(C41:C43)</f>
        <v>86074.259440000009</v>
      </c>
      <c r="D44" s="58">
        <f>SUM(D41:D43)</f>
        <v>192045.05615200003</v>
      </c>
      <c r="E44" s="58">
        <f>SUM(E41:E43)</f>
        <v>318749.26961200003</v>
      </c>
      <c r="F44" s="58">
        <f>SUM(F41:F43)</f>
        <v>469273.87520248018</v>
      </c>
    </row>
    <row r="45" spans="1:6" s="45" customFormat="1">
      <c r="A45" s="95" t="s">
        <v>34</v>
      </c>
      <c r="B45" s="57">
        <v>0.6</v>
      </c>
      <c r="C45" s="59">
        <f>+B45</f>
        <v>0.6</v>
      </c>
      <c r="D45" s="59">
        <f>+C45</f>
        <v>0.6</v>
      </c>
      <c r="E45" s="59">
        <f>+D45</f>
        <v>0.6</v>
      </c>
      <c r="F45" s="59">
        <f>+E45</f>
        <v>0.6</v>
      </c>
    </row>
    <row r="46" spans="1:6">
      <c r="A46" s="92" t="s">
        <v>12</v>
      </c>
      <c r="B46" s="6">
        <f>B45*(B39+B44)</f>
        <v>52969.712136000002</v>
      </c>
      <c r="C46" s="6">
        <f>C45*(C39+C44)</f>
        <v>83426.382945600009</v>
      </c>
      <c r="D46" s="6">
        <f>D45*(D39+D44)</f>
        <v>165282.86345856002</v>
      </c>
      <c r="E46" s="6">
        <f>E45*(E39+E44)</f>
        <v>290419.27984233602</v>
      </c>
      <c r="F46" s="6">
        <f>F45*(F39+F44)</f>
        <v>455815.89302688971</v>
      </c>
    </row>
    <row r="47" spans="1:6" s="1" customFormat="1">
      <c r="A47" s="97" t="s">
        <v>35</v>
      </c>
      <c r="B47" s="8">
        <f>AVERAGE((B46,B39))</f>
        <v>47484.856068000001</v>
      </c>
      <c r="C47" s="8">
        <f>AVERAGE((C46,C39))</f>
        <v>68198.047540800006</v>
      </c>
      <c r="D47" s="8">
        <f>AVERAGE((D46,D39))</f>
        <v>124354.62320208002</v>
      </c>
      <c r="E47" s="8">
        <f>AVERAGE((E46,E39))</f>
        <v>227851.07165044802</v>
      </c>
      <c r="F47" s="8">
        <f>AVERAGE((F46,F39))</f>
        <v>373117.58643461287</v>
      </c>
    </row>
    <row r="48" spans="1:6">
      <c r="A48" s="92" t="s">
        <v>37</v>
      </c>
      <c r="B48" s="42">
        <v>7</v>
      </c>
      <c r="C48" s="42">
        <v>7</v>
      </c>
      <c r="D48" s="42">
        <v>7</v>
      </c>
      <c r="E48" s="42">
        <v>7</v>
      </c>
      <c r="F48" s="42">
        <v>7</v>
      </c>
    </row>
    <row r="49" spans="1:6">
      <c r="A49" s="92" t="s">
        <v>13</v>
      </c>
      <c r="B49" s="6">
        <f>((52*B48)*B47)</f>
        <v>17284487.608752001</v>
      </c>
      <c r="C49" s="6">
        <f t="shared" ref="C49:F49" si="18">52*C48*C47</f>
        <v>24824089.3048512</v>
      </c>
      <c r="D49" s="6">
        <f t="shared" si="18"/>
        <v>45265082.845557131</v>
      </c>
      <c r="E49" s="6">
        <f t="shared" si="18"/>
        <v>82937790.080763087</v>
      </c>
      <c r="F49" s="6">
        <f t="shared" si="18"/>
        <v>135814801.46219909</v>
      </c>
    </row>
    <row r="50" spans="1:6" s="45" customFormat="1">
      <c r="A50" s="95" t="s">
        <v>75</v>
      </c>
      <c r="B50" s="57">
        <v>0.05</v>
      </c>
      <c r="C50" s="59">
        <v>0.05</v>
      </c>
      <c r="D50" s="59">
        <f>+C50</f>
        <v>0.05</v>
      </c>
      <c r="E50" s="59">
        <f>+D50</f>
        <v>0.05</v>
      </c>
      <c r="F50" s="59">
        <f>+E50</f>
        <v>0.05</v>
      </c>
    </row>
    <row r="51" spans="1:6" s="68" customFormat="1">
      <c r="A51" s="106" t="s">
        <v>73</v>
      </c>
      <c r="B51" s="110">
        <f>+B50*B49</f>
        <v>864224.38043760008</v>
      </c>
      <c r="C51" s="110">
        <f t="shared" ref="C51:F51" si="19">+C50*C49</f>
        <v>1241204.46524256</v>
      </c>
      <c r="D51" s="110">
        <f t="shared" si="19"/>
        <v>2263254.1422778568</v>
      </c>
      <c r="E51" s="110">
        <f t="shared" si="19"/>
        <v>4146889.5040381546</v>
      </c>
      <c r="F51" s="110">
        <f t="shared" si="19"/>
        <v>6790740.0731099546</v>
      </c>
    </row>
    <row r="52" spans="1:6">
      <c r="A52" s="92"/>
      <c r="C52" s="6"/>
      <c r="D52" s="6"/>
      <c r="E52" s="6"/>
      <c r="F52" s="6"/>
    </row>
    <row r="53" spans="1:6">
      <c r="A53" s="94" t="s">
        <v>72</v>
      </c>
      <c r="C53" s="6"/>
      <c r="D53" s="6"/>
      <c r="E53" s="6"/>
      <c r="F53" s="6"/>
    </row>
    <row r="54" spans="1:6">
      <c r="A54" s="98" t="s">
        <v>76</v>
      </c>
      <c r="B54" s="6">
        <f>+B36</f>
        <v>104714.226</v>
      </c>
      <c r="C54" s="6">
        <f>+C36</f>
        <v>1151856.4860000003</v>
      </c>
      <c r="D54" s="6">
        <f>+D36</f>
        <v>3801126.4038000004</v>
      </c>
      <c r="E54" s="6">
        <f>+E36</f>
        <v>6968731.7403000006</v>
      </c>
      <c r="F54" s="6">
        <f>+F36</f>
        <v>10731846.880062005</v>
      </c>
    </row>
    <row r="55" spans="1:6">
      <c r="A55" s="98" t="s">
        <v>73</v>
      </c>
      <c r="B55" s="6">
        <f>+B51</f>
        <v>864224.38043760008</v>
      </c>
      <c r="C55" s="6">
        <f>+C51</f>
        <v>1241204.46524256</v>
      </c>
      <c r="D55" s="6">
        <f>+D51</f>
        <v>2263254.1422778568</v>
      </c>
      <c r="E55" s="6">
        <f>+E51</f>
        <v>4146889.5040381546</v>
      </c>
      <c r="F55" s="6">
        <f>+F51</f>
        <v>6790740.0731099546</v>
      </c>
    </row>
    <row r="56" spans="1:6" s="69" customFormat="1">
      <c r="A56" s="94" t="s">
        <v>74</v>
      </c>
      <c r="B56" s="87">
        <f>SUM(B54:B55)</f>
        <v>968938.6064376001</v>
      </c>
      <c r="C56" s="87">
        <f t="shared" ref="C56:F56" si="20">SUM(C54:C55)</f>
        <v>2393060.9512425605</v>
      </c>
      <c r="D56" s="87">
        <f t="shared" si="20"/>
        <v>6064380.5460778568</v>
      </c>
      <c r="E56" s="87">
        <f t="shared" si="20"/>
        <v>11115621.244338155</v>
      </c>
      <c r="F56" s="87">
        <f t="shared" si="20"/>
        <v>17522586.953171961</v>
      </c>
    </row>
    <row r="57" spans="1:6" s="45" customFormat="1">
      <c r="A57" s="95"/>
      <c r="B57" s="46"/>
      <c r="C57" s="46"/>
      <c r="D57" s="46"/>
      <c r="E57" s="46"/>
      <c r="F57" s="46"/>
    </row>
    <row r="58" spans="1:6" s="43" customFormat="1">
      <c r="A58" s="99" t="s">
        <v>39</v>
      </c>
      <c r="B58" s="44"/>
      <c r="C58" s="44"/>
      <c r="D58" s="44"/>
      <c r="E58" s="44"/>
      <c r="F58" s="44"/>
    </row>
    <row r="59" spans="1:6" s="43" customFormat="1">
      <c r="A59" s="100" t="s">
        <v>48</v>
      </c>
      <c r="B59" s="209">
        <v>3</v>
      </c>
      <c r="C59" s="209">
        <v>4</v>
      </c>
      <c r="D59" s="209">
        <v>5</v>
      </c>
      <c r="E59" s="209">
        <v>5</v>
      </c>
      <c r="F59" s="209">
        <v>5</v>
      </c>
    </row>
    <row r="60" spans="1:6" s="85" customFormat="1">
      <c r="A60" s="101" t="s">
        <v>68</v>
      </c>
      <c r="B60" s="212">
        <f>B54/12</f>
        <v>8726.1854999999996</v>
      </c>
      <c r="C60" s="212">
        <f>C54/12</f>
        <v>95988.040500000017</v>
      </c>
      <c r="D60" s="212">
        <f>D54/12</f>
        <v>316760.53365000006</v>
      </c>
      <c r="E60" s="212">
        <f>E54/12</f>
        <v>580727.64502500009</v>
      </c>
      <c r="F60" s="212">
        <f>F54/12</f>
        <v>894320.57333850034</v>
      </c>
    </row>
    <row r="61" spans="1:6" s="86" customFormat="1">
      <c r="A61" s="102" t="s">
        <v>69</v>
      </c>
      <c r="B61" s="111">
        <f>B60/1.4</f>
        <v>6232.9896428571428</v>
      </c>
      <c r="C61" s="111">
        <f t="shared" ref="C61:F61" si="21">C60/1.4</f>
        <v>68562.886071428584</v>
      </c>
      <c r="D61" s="111">
        <f t="shared" si="21"/>
        <v>226257.52403571433</v>
      </c>
      <c r="E61" s="111">
        <f t="shared" si="21"/>
        <v>414805.46073214296</v>
      </c>
      <c r="F61" s="111">
        <f t="shared" si="21"/>
        <v>638800.40952750028</v>
      </c>
    </row>
    <row r="62" spans="1:6" s="86" customFormat="1">
      <c r="A62" s="102" t="s">
        <v>66</v>
      </c>
      <c r="B62" s="111">
        <f>+B54*B59</f>
        <v>314142.67799999996</v>
      </c>
      <c r="C62" s="111">
        <f>+C54*C59</f>
        <v>4607425.9440000011</v>
      </c>
      <c r="D62" s="111">
        <f>+D54*D59</f>
        <v>19005632.019000001</v>
      </c>
      <c r="E62" s="111">
        <f>+E54*E59</f>
        <v>34843658.701500006</v>
      </c>
      <c r="F62" s="111">
        <f>+F54*F59</f>
        <v>53659234.400310025</v>
      </c>
    </row>
    <row r="63" spans="1:6" s="48" customFormat="1">
      <c r="A63" s="103" t="s">
        <v>49</v>
      </c>
      <c r="B63" s="112">
        <f>(B54*B59)*B67/1000</f>
        <v>1256.5707119999997</v>
      </c>
      <c r="C63" s="112">
        <f>(C54*C59)*C67/1000</f>
        <v>55289.111328000006</v>
      </c>
      <c r="D63" s="112">
        <f>(D54*D59)*D67/1000</f>
        <v>228067.58422800002</v>
      </c>
      <c r="E63" s="112">
        <f>(E54*E59)*E67/1000</f>
        <v>418123.90441800008</v>
      </c>
      <c r="F63" s="112">
        <f>(F54*F59)*F67/1000</f>
        <v>643910.81280372024</v>
      </c>
    </row>
    <row r="64" spans="1:6" s="48" customFormat="1">
      <c r="A64" s="104" t="s">
        <v>280</v>
      </c>
      <c r="B64" s="210">
        <f>4*100%</f>
        <v>4</v>
      </c>
      <c r="C64" s="210">
        <f>12*50%</f>
        <v>6</v>
      </c>
      <c r="D64" s="210">
        <f>12*35%</f>
        <v>4.1999999999999993</v>
      </c>
      <c r="E64" s="210">
        <f>12*20%</f>
        <v>2.4000000000000004</v>
      </c>
      <c r="F64" s="210">
        <f>12*20%</f>
        <v>2.4000000000000004</v>
      </c>
    </row>
    <row r="65" spans="1:6" s="48" customFormat="1">
      <c r="A65" s="104" t="s">
        <v>282</v>
      </c>
      <c r="B65" s="210">
        <f>4*0%</f>
        <v>0</v>
      </c>
      <c r="C65" s="210">
        <f>12*30%</f>
        <v>3.5999999999999996</v>
      </c>
      <c r="D65" s="210">
        <f>12*50%</f>
        <v>6</v>
      </c>
      <c r="E65" s="210">
        <f>12*65%</f>
        <v>7.8000000000000007</v>
      </c>
      <c r="F65" s="210">
        <f>12*65%</f>
        <v>7.8000000000000007</v>
      </c>
    </row>
    <row r="66" spans="1:6" s="48" customFormat="1">
      <c r="A66" s="104" t="s">
        <v>281</v>
      </c>
      <c r="B66" s="210">
        <f>4*0%</f>
        <v>0</v>
      </c>
      <c r="C66" s="210">
        <f>12*20%</f>
        <v>2.4000000000000004</v>
      </c>
      <c r="D66" s="210">
        <f>12*15%</f>
        <v>1.7999999999999998</v>
      </c>
      <c r="E66" s="210">
        <f>12*15%</f>
        <v>1.7999999999999998</v>
      </c>
      <c r="F66" s="210">
        <f>12*15%</f>
        <v>1.7999999999999998</v>
      </c>
    </row>
    <row r="67" spans="1:6" s="47" customFormat="1">
      <c r="A67" s="99" t="s">
        <v>32</v>
      </c>
      <c r="B67" s="113">
        <f>SUM(B64:B66)</f>
        <v>4</v>
      </c>
      <c r="C67" s="113">
        <f>SUM(C64:C66)</f>
        <v>12</v>
      </c>
      <c r="D67" s="113">
        <f>SUM(D64:D66)</f>
        <v>12</v>
      </c>
      <c r="E67" s="113">
        <f>SUM(E64:E66)</f>
        <v>12</v>
      </c>
      <c r="F67" s="113">
        <f>SUM(F64:F66)</f>
        <v>12</v>
      </c>
    </row>
    <row r="68" spans="1:6" s="48" customFormat="1">
      <c r="A68" s="103"/>
      <c r="B68" s="71"/>
      <c r="C68" s="71"/>
      <c r="D68" s="71"/>
      <c r="E68" s="71"/>
      <c r="F68" s="71"/>
    </row>
    <row r="69" spans="1:6" s="43" customFormat="1">
      <c r="A69" s="99" t="s">
        <v>40</v>
      </c>
      <c r="B69" s="44"/>
      <c r="C69" s="44"/>
      <c r="D69" s="44"/>
      <c r="E69" s="44"/>
      <c r="F69" s="44"/>
    </row>
    <row r="70" spans="1:6" s="47" customFormat="1">
      <c r="A70" s="99" t="s">
        <v>31</v>
      </c>
      <c r="B70" s="114">
        <v>6</v>
      </c>
      <c r="C70" s="114">
        <v>15</v>
      </c>
      <c r="D70" s="114">
        <v>20</v>
      </c>
      <c r="E70" s="114">
        <v>25</v>
      </c>
      <c r="F70" s="114">
        <v>25</v>
      </c>
    </row>
    <row r="71" spans="1:6" s="48" customFormat="1">
      <c r="A71" s="43" t="s">
        <v>284</v>
      </c>
      <c r="B71" s="80">
        <f>+B74*100%</f>
        <v>2.1840000000000002</v>
      </c>
      <c r="C71" s="80">
        <f>+C74*50%</f>
        <v>2.73</v>
      </c>
      <c r="D71" s="80">
        <f>+D74*35%</f>
        <v>2.548</v>
      </c>
      <c r="E71" s="80">
        <f>+E74*20%</f>
        <v>1.82</v>
      </c>
      <c r="F71" s="80">
        <f>+F74*20%</f>
        <v>1.8200000000000003</v>
      </c>
    </row>
    <row r="72" spans="1:6" s="48" customFormat="1">
      <c r="A72" s="43" t="s">
        <v>283</v>
      </c>
      <c r="B72" s="80">
        <f>+B74*0%</f>
        <v>0</v>
      </c>
      <c r="C72" s="80">
        <f>+C74*30%</f>
        <v>1.6379999999999999</v>
      </c>
      <c r="D72" s="80">
        <f>+D74*50%</f>
        <v>3.64</v>
      </c>
      <c r="E72" s="80">
        <f>+E74*65%</f>
        <v>5.915</v>
      </c>
      <c r="F72" s="80">
        <f>+F74*65%</f>
        <v>5.9150000000000009</v>
      </c>
    </row>
    <row r="73" spans="1:6" s="48" customFormat="1">
      <c r="A73" s="43" t="s">
        <v>285</v>
      </c>
      <c r="B73" s="80"/>
      <c r="C73" s="80">
        <f>+C74*20%</f>
        <v>1.0920000000000001</v>
      </c>
      <c r="D73" s="80">
        <f>+D74*15%</f>
        <v>1.0920000000000001</v>
      </c>
      <c r="E73" s="80">
        <f>+E74*15%</f>
        <v>1.365</v>
      </c>
      <c r="F73" s="80">
        <f>+F74*15%</f>
        <v>1.3650000000000002</v>
      </c>
    </row>
    <row r="74" spans="1:6" s="79" customFormat="1">
      <c r="A74" s="104" t="s">
        <v>30</v>
      </c>
      <c r="B74" s="80">
        <f>IF(B47,+B75/B47,0)</f>
        <v>2.1840000000000002</v>
      </c>
      <c r="C74" s="80">
        <f>IF(C47,+C75/C47,0)</f>
        <v>5.46</v>
      </c>
      <c r="D74" s="80">
        <f>IF(D47,+D75/D47,0)</f>
        <v>7.28</v>
      </c>
      <c r="E74" s="80">
        <f>IF(E47,+E75/E47,0)</f>
        <v>9.1</v>
      </c>
      <c r="F74" s="80">
        <f>IF(F47,+F75/F47,0)</f>
        <v>9.1000000000000014</v>
      </c>
    </row>
    <row r="75" spans="1:6" s="48" customFormat="1">
      <c r="A75" s="103" t="s">
        <v>38</v>
      </c>
      <c r="B75" s="112">
        <f>B49*B70/1000</f>
        <v>103706.92565251201</v>
      </c>
      <c r="C75" s="112">
        <f>C49*C70/1000</f>
        <v>372361.33957276802</v>
      </c>
      <c r="D75" s="112">
        <f>D49*D70/1000</f>
        <v>905301.65691114264</v>
      </c>
      <c r="E75" s="112">
        <f>E49*E70/1000</f>
        <v>2073444.7520190771</v>
      </c>
      <c r="F75" s="112">
        <f>F49*F70/1000</f>
        <v>3395370.0365549773</v>
      </c>
    </row>
    <row r="76" spans="1:6" s="48" customFormat="1">
      <c r="A76" s="103"/>
      <c r="B76" s="71"/>
      <c r="C76" s="71"/>
      <c r="D76" s="71"/>
      <c r="E76" s="71"/>
      <c r="F76" s="71"/>
    </row>
    <row r="77" spans="1:6" s="48" customFormat="1">
      <c r="A77" s="99" t="s">
        <v>79</v>
      </c>
      <c r="B77" s="60"/>
      <c r="C77" s="60"/>
      <c r="D77" s="60"/>
      <c r="E77" s="60"/>
      <c r="F77" s="60"/>
    </row>
    <row r="78" spans="1:6" s="67" customFormat="1">
      <c r="A78" s="104" t="s">
        <v>80</v>
      </c>
      <c r="B78" s="115">
        <v>0</v>
      </c>
      <c r="C78" s="115">
        <v>6</v>
      </c>
      <c r="D78" s="115">
        <v>18</v>
      </c>
      <c r="E78" s="115">
        <v>36</v>
      </c>
      <c r="F78" s="115">
        <v>48</v>
      </c>
    </row>
    <row r="79" spans="1:6" s="67" customFormat="1">
      <c r="A79" s="104" t="s">
        <v>81</v>
      </c>
      <c r="B79" s="116">
        <v>5000</v>
      </c>
      <c r="C79" s="116">
        <v>10000</v>
      </c>
      <c r="D79" s="116">
        <v>15000</v>
      </c>
      <c r="E79" s="116">
        <v>20000</v>
      </c>
      <c r="F79" s="116">
        <v>25000</v>
      </c>
    </row>
    <row r="80" spans="1:6" s="47" customFormat="1">
      <c r="A80" s="99" t="s">
        <v>82</v>
      </c>
      <c r="B80" s="60">
        <f>+B79*B78</f>
        <v>0</v>
      </c>
      <c r="C80" s="60">
        <f t="shared" ref="C80:F80" si="22">+C79*C78</f>
        <v>60000</v>
      </c>
      <c r="D80" s="60">
        <f t="shared" si="22"/>
        <v>270000</v>
      </c>
      <c r="E80" s="60">
        <f t="shared" si="22"/>
        <v>720000</v>
      </c>
      <c r="F80" s="60">
        <f t="shared" si="22"/>
        <v>1200000</v>
      </c>
    </row>
    <row r="81" spans="1:6" s="67" customFormat="1">
      <c r="A81" s="104" t="s">
        <v>83</v>
      </c>
      <c r="B81" s="117">
        <f>IF(B47,+B80/B47,0)</f>
        <v>0</v>
      </c>
      <c r="C81" s="117">
        <f>IF(C47,+C80/C47,0)</f>
        <v>0.87979058292108059</v>
      </c>
      <c r="D81" s="117">
        <f>IF(D47,+D80/D47,0)</f>
        <v>2.1712099883994007</v>
      </c>
      <c r="E81" s="117">
        <f>IF(E47,+E80/E47,0)</f>
        <v>3.1599588046027267</v>
      </c>
      <c r="F81" s="117">
        <f>IF(F47,+F80/F47,0)</f>
        <v>3.2161443031050867</v>
      </c>
    </row>
    <row r="82" spans="1:6" s="48" customFormat="1">
      <c r="A82" s="103"/>
      <c r="B82" s="60"/>
      <c r="C82" s="60"/>
      <c r="D82" s="60"/>
      <c r="E82" s="60"/>
      <c r="F82" s="60"/>
    </row>
    <row r="83" spans="1:6" s="48" customFormat="1">
      <c r="A83" s="103" t="s">
        <v>11</v>
      </c>
      <c r="B83" s="49">
        <f>+B63+B75+B80</f>
        <v>104963.49636451202</v>
      </c>
      <c r="C83" s="49">
        <f>+C63+C75+C80</f>
        <v>487650.45090076805</v>
      </c>
      <c r="D83" s="49">
        <f>+D63+D75+D80</f>
        <v>1403369.2411391428</v>
      </c>
      <c r="E83" s="49">
        <f>+E63+E75+E80</f>
        <v>3211568.6564370771</v>
      </c>
      <c r="F83" s="49">
        <f>+F63+F75+F80</f>
        <v>5239280.8493586974</v>
      </c>
    </row>
    <row r="84" spans="1:6" s="48" customFormat="1">
      <c r="A84" s="99" t="s">
        <v>158</v>
      </c>
      <c r="B84" s="49">
        <f>(+B64*(B62/1000))+(B71*B47)</f>
        <v>104963.49636451202</v>
      </c>
      <c r="C84" s="49">
        <f t="shared" ref="C84:F84" si="23">(+C64*(C62/1000))+(C71*C47)</f>
        <v>213825.22545038402</v>
      </c>
      <c r="D84" s="49">
        <f t="shared" si="23"/>
        <v>396679.23439869995</v>
      </c>
      <c r="E84" s="49">
        <f t="shared" si="23"/>
        <v>498313.73128741543</v>
      </c>
      <c r="F84" s="49">
        <f t="shared" si="23"/>
        <v>807856.16987173958</v>
      </c>
    </row>
    <row r="85" spans="1:6" s="48" customFormat="1">
      <c r="A85" s="99" t="s">
        <v>286</v>
      </c>
      <c r="B85" s="112">
        <f>(+B65*(B62/1000))+(B72*B47)</f>
        <v>0</v>
      </c>
      <c r="C85" s="112">
        <f t="shared" ref="C85:F85" si="24">(+C65*(C62/1000))+(C72*C47)</f>
        <v>128295.1352702304</v>
      </c>
      <c r="D85" s="112">
        <f t="shared" si="24"/>
        <v>566684.62056957139</v>
      </c>
      <c r="E85" s="112">
        <f t="shared" si="24"/>
        <v>1619519.6266841001</v>
      </c>
      <c r="F85" s="112">
        <f t="shared" si="24"/>
        <v>2625532.5520831537</v>
      </c>
    </row>
    <row r="86" spans="1:6" s="48" customFormat="1">
      <c r="A86" s="99" t="s">
        <v>287</v>
      </c>
      <c r="B86" s="112">
        <f>(+B66*(B62/1000))+(B73*B47)</f>
        <v>0</v>
      </c>
      <c r="C86" s="112">
        <f t="shared" ref="C86:F86" si="25">(+C66*(C62/1000))+(C73*C47)</f>
        <v>85530.090180153609</v>
      </c>
      <c r="D86" s="112">
        <f t="shared" si="25"/>
        <v>170005.38617087138</v>
      </c>
      <c r="E86" s="112">
        <f t="shared" si="25"/>
        <v>373735.29846556153</v>
      </c>
      <c r="F86" s="112">
        <f t="shared" si="25"/>
        <v>605892.12740380468</v>
      </c>
    </row>
    <row r="87" spans="1:6" s="48" customFormat="1">
      <c r="A87" s="99" t="s">
        <v>82</v>
      </c>
      <c r="B87" s="49">
        <f>+B80</f>
        <v>0</v>
      </c>
      <c r="C87" s="49">
        <f t="shared" ref="C87:F87" si="26">+C80</f>
        <v>60000</v>
      </c>
      <c r="D87" s="49">
        <f t="shared" si="26"/>
        <v>270000</v>
      </c>
      <c r="E87" s="49">
        <f t="shared" si="26"/>
        <v>720000</v>
      </c>
      <c r="F87" s="49">
        <f t="shared" si="26"/>
        <v>1200000</v>
      </c>
    </row>
    <row r="88" spans="1:6" s="47" customFormat="1">
      <c r="A88" s="99" t="s">
        <v>30</v>
      </c>
      <c r="B88" s="51">
        <f>IF(+B47,+B83/B47,0)</f>
        <v>2.2104625570350378</v>
      </c>
      <c r="C88" s="51">
        <f>IF(+C47,+C83/C47,0)</f>
        <v>7.1505045743285747</v>
      </c>
      <c r="D88" s="51">
        <f>IF(+D47,+D83/D47,0)</f>
        <v>11.285219680643682</v>
      </c>
      <c r="E88" s="51">
        <f>IF(+E47,+E83/E47,0)</f>
        <v>14.095034239575684</v>
      </c>
      <c r="F88" s="51">
        <f>IF(+F47,+F83/F47,0)</f>
        <v>14.041902713360463</v>
      </c>
    </row>
    <row r="89" spans="1:6">
      <c r="A89" s="92"/>
      <c r="C89" s="6"/>
      <c r="D89" s="6"/>
      <c r="E89" s="6"/>
      <c r="F89" s="6"/>
    </row>
    <row r="90" spans="1:6" s="45" customFormat="1">
      <c r="A90" s="105" t="s">
        <v>36</v>
      </c>
      <c r="B90" s="46"/>
      <c r="C90" s="46"/>
      <c r="D90" s="46"/>
      <c r="E90" s="46"/>
      <c r="F90" s="46"/>
    </row>
    <row r="91" spans="1:6" s="45" customFormat="1">
      <c r="A91" s="105"/>
      <c r="B91" s="46"/>
      <c r="C91" s="46"/>
      <c r="D91" s="46"/>
      <c r="E91" s="46"/>
      <c r="F91" s="46"/>
    </row>
    <row r="92" spans="1:6" s="45" customFormat="1">
      <c r="A92" s="68" t="s">
        <v>84</v>
      </c>
      <c r="B92" s="118" t="s">
        <v>85</v>
      </c>
      <c r="C92" s="118" t="s">
        <v>85</v>
      </c>
      <c r="D92" s="118" t="s">
        <v>86</v>
      </c>
      <c r="E92" s="118" t="s">
        <v>86</v>
      </c>
      <c r="F92" s="118" t="s">
        <v>86</v>
      </c>
    </row>
    <row r="93" spans="1:6" s="66" customFormat="1">
      <c r="A93" s="66" t="s">
        <v>87</v>
      </c>
      <c r="B93" s="119">
        <v>26</v>
      </c>
      <c r="C93" s="119">
        <v>26</v>
      </c>
      <c r="D93" s="119">
        <v>26</v>
      </c>
      <c r="E93" s="119">
        <v>26</v>
      </c>
      <c r="F93" s="119">
        <v>26</v>
      </c>
    </row>
    <row r="94" spans="1:6" s="66" customFormat="1">
      <c r="A94" s="66" t="s">
        <v>88</v>
      </c>
      <c r="B94" s="120">
        <v>10000</v>
      </c>
      <c r="C94" s="120">
        <v>10000</v>
      </c>
      <c r="D94" s="120">
        <v>5000</v>
      </c>
      <c r="E94" s="120">
        <v>5000</v>
      </c>
      <c r="F94" s="120">
        <v>5000</v>
      </c>
    </row>
    <row r="95" spans="1:6" s="45" customFormat="1">
      <c r="A95" s="68" t="s">
        <v>89</v>
      </c>
      <c r="B95" s="121">
        <f>+B94*B93</f>
        <v>260000</v>
      </c>
      <c r="C95" s="121">
        <f t="shared" ref="C95:F95" si="27">+C94*C93</f>
        <v>260000</v>
      </c>
      <c r="D95" s="121">
        <f t="shared" si="27"/>
        <v>130000</v>
      </c>
      <c r="E95" s="121">
        <f t="shared" si="27"/>
        <v>130000</v>
      </c>
      <c r="F95" s="121">
        <f t="shared" si="27"/>
        <v>130000</v>
      </c>
    </row>
    <row r="96" spans="1:6" s="45" customFormat="1">
      <c r="B96" s="46"/>
      <c r="C96" s="46"/>
      <c r="D96" s="46"/>
      <c r="E96" s="46"/>
      <c r="F96" s="46"/>
    </row>
    <row r="97" spans="1:6" s="45" customFormat="1">
      <c r="A97" s="69" t="s">
        <v>90</v>
      </c>
      <c r="B97" s="46"/>
      <c r="C97" s="46"/>
      <c r="D97" s="46"/>
      <c r="E97" s="46"/>
      <c r="F97" s="46"/>
    </row>
    <row r="98" spans="1:6" s="45" customFormat="1">
      <c r="A98" s="45" t="s">
        <v>91</v>
      </c>
      <c r="B98" s="122">
        <f>((+B54*B59*B64/1000)+(B47*B71))*0%</f>
        <v>0</v>
      </c>
      <c r="C98" s="122">
        <f>((+C54*C59*C64/1000)+(C47*C71))*0%</f>
        <v>0</v>
      </c>
      <c r="D98" s="122">
        <f>((+D54*D59*D64/1000)+(D47*D71))*0%</f>
        <v>0</v>
      </c>
      <c r="E98" s="122">
        <f>((+E54*E59*E64/1000)+(E47*E71))*0%</f>
        <v>0</v>
      </c>
      <c r="F98" s="122">
        <f>((+F54*F59*F64/1000)+(F47*F71))*0%</f>
        <v>0</v>
      </c>
    </row>
    <row r="99" spans="1:6" s="45" customFormat="1">
      <c r="A99" s="45" t="s">
        <v>92</v>
      </c>
      <c r="B99" s="122">
        <f>((+B54*B59*B65/1000)+(B47*B72))*5%</f>
        <v>0</v>
      </c>
      <c r="C99" s="122">
        <f>((+C54*C59*C65/1000)+(C47*C72))*5%</f>
        <v>6414.7567635115201</v>
      </c>
      <c r="D99" s="122">
        <f>((+D54*D59*D65/1000)+(D47*D72))*5%</f>
        <v>28334.231028478571</v>
      </c>
      <c r="E99" s="122">
        <f>((+E54*E59*E65/1000)+(E47*E72))*5%</f>
        <v>80975.981334205018</v>
      </c>
      <c r="F99" s="122">
        <f>((+F54*F59*F65/1000)+(F47*F72))*5%</f>
        <v>131276.62760415769</v>
      </c>
    </row>
    <row r="100" spans="1:6" s="45" customFormat="1">
      <c r="A100" s="45" t="s">
        <v>259</v>
      </c>
      <c r="B100" s="122">
        <v>0</v>
      </c>
      <c r="C100" s="122">
        <v>0</v>
      </c>
      <c r="D100" s="122">
        <v>0</v>
      </c>
      <c r="E100" s="122">
        <v>0</v>
      </c>
      <c r="F100" s="122">
        <v>0</v>
      </c>
    </row>
    <row r="101" spans="1:6" s="123" customFormat="1">
      <c r="A101" s="123" t="s">
        <v>93</v>
      </c>
      <c r="B101" s="124">
        <f>((((B54*B59)*(B64+B65))/1000)+((B71+B72)*B47))*3%</f>
        <v>3148.9048909353605</v>
      </c>
      <c r="C101" s="124">
        <f>((((C54*C59)*(C64+C65))/1000)+((C71+C72)*C47))*3%</f>
        <v>10263.610821618433</v>
      </c>
      <c r="D101" s="124">
        <f>((((D54*D59)*(D64+D65))/1000)+((D71+D72)*D47))*3%</f>
        <v>28900.915649048136</v>
      </c>
      <c r="E101" s="124">
        <f>((((E54*E59)*(E64+E65))/1000)+((E71+E72)*E47))*3%</f>
        <v>63535.000739145464</v>
      </c>
      <c r="F101" s="124">
        <f>((((F54*F59)*(F64+F65))/1000)+((F71+F72)*F47))*3%</f>
        <v>103001.6616586468</v>
      </c>
    </row>
    <row r="102" spans="1:6" s="69" customFormat="1">
      <c r="A102" s="69" t="s">
        <v>94</v>
      </c>
      <c r="B102" s="76">
        <f>SUM(B98:B101)</f>
        <v>3148.9048909353605</v>
      </c>
      <c r="C102" s="76">
        <f t="shared" ref="C102:F102" si="28">SUM(C98:C101)</f>
        <v>16678.367585129952</v>
      </c>
      <c r="D102" s="76">
        <f t="shared" si="28"/>
        <v>57235.146677526704</v>
      </c>
      <c r="E102" s="76">
        <f t="shared" si="28"/>
        <v>144510.98207335049</v>
      </c>
      <c r="F102" s="76">
        <f t="shared" si="28"/>
        <v>234278.28926280449</v>
      </c>
    </row>
    <row r="103" spans="1:6">
      <c r="C103" s="6"/>
      <c r="D103" s="6"/>
      <c r="E103" s="6"/>
      <c r="F103" s="6"/>
    </row>
    <row r="104" spans="1:6">
      <c r="A104" s="105" t="s">
        <v>7</v>
      </c>
      <c r="C104" s="6"/>
      <c r="D104" s="6"/>
      <c r="E104" s="6"/>
      <c r="F104" s="6"/>
    </row>
    <row r="105" spans="1:6" s="45" customFormat="1">
      <c r="A105" s="95" t="s">
        <v>61</v>
      </c>
      <c r="B105" s="125">
        <f>(+'DC Costs'!$B$2*12)</f>
        <v>10800</v>
      </c>
      <c r="C105" s="125">
        <f>(+'DC Costs'!$B$2*12)</f>
        <v>10800</v>
      </c>
      <c r="D105" s="125">
        <f>(+'DC Costs'!$B$2*12)</f>
        <v>10800</v>
      </c>
      <c r="E105" s="125">
        <f>(+'DC Costs'!$B$2*12)</f>
        <v>10800</v>
      </c>
      <c r="F105" s="125">
        <f>(+'DC Costs'!$B$2*12)</f>
        <v>10800</v>
      </c>
    </row>
    <row r="106" spans="1:6" s="45" customFormat="1">
      <c r="A106" s="95" t="s">
        <v>62</v>
      </c>
      <c r="B106" s="125">
        <f>(+((B59*B56/4000)*50%)*'DC Costs'!$B$3)</f>
        <v>4360.2237289692002</v>
      </c>
      <c r="C106" s="125">
        <f>(+((C59*C56/4000)*50%)*'DC Costs'!$B$3)</f>
        <v>14358.365707455363</v>
      </c>
      <c r="D106" s="125">
        <f>(+((D59*D56/4000)*50%)*'DC Costs'!$B$3)</f>
        <v>45482.854095583927</v>
      </c>
      <c r="E106" s="125">
        <f>(+((E59*E56/4000)*50%)*'DC Costs'!$B$3)</f>
        <v>83367.159332536161</v>
      </c>
      <c r="F106" s="125">
        <f>(+((F59*F56/4000)*50%)*'DC Costs'!$B$3)</f>
        <v>131419.40214878973</v>
      </c>
    </row>
    <row r="107" spans="1:6" s="45" customFormat="1">
      <c r="A107" s="95" t="s">
        <v>63</v>
      </c>
      <c r="B107" s="125">
        <f>(+((B59*B56/4000)*50%)*'DC Costs'!$B$4)</f>
        <v>109.00559322423</v>
      </c>
      <c r="C107" s="125">
        <f>(+((C59*C56/4000)*50%)*'DC Costs'!$B$4)</f>
        <v>358.95914268638404</v>
      </c>
      <c r="D107" s="125">
        <f>(+((D59*D56/4000)*50%)*'DC Costs'!$B$4)</f>
        <v>1137.0713523895981</v>
      </c>
      <c r="E107" s="125">
        <f>(+((E59*E56/4000)*50%)*'DC Costs'!$B$4)</f>
        <v>2084.1789833134039</v>
      </c>
      <c r="F107" s="125">
        <f>(+((F59*F56/4000)*50%)*'DC Costs'!$B$4)</f>
        <v>3285.4850537197431</v>
      </c>
    </row>
    <row r="108" spans="1:6" s="45" customFormat="1">
      <c r="A108" s="95" t="s">
        <v>24</v>
      </c>
      <c r="B108" s="90">
        <f>(IF(B49&gt;0,VLOOKUP(B49/12,'Email Costs'!$A$5:$C$19,3),0)*(B49/1000))</f>
        <v>34568.975217504005</v>
      </c>
      <c r="C108" s="90">
        <f>(IF(C49&gt;0,VLOOKUP(C49/12,'Email Costs'!$A$5:$C$19,3),0)*(C49/1000))</f>
        <v>31030.111631063999</v>
      </c>
      <c r="D108" s="90">
        <f>(IF(D49&gt;0,VLOOKUP(D49/12,'Email Costs'!$A$5:$C$19,3),0)*(D49/1000))</f>
        <v>56581.353556946415</v>
      </c>
      <c r="E108" s="90">
        <f>(IF(E49&gt;0,VLOOKUP(E49/12,'Email Costs'!$A$5:$C$19,3),0)*(E49/1000))</f>
        <v>76302.766874302033</v>
      </c>
      <c r="F108" s="90">
        <f>(IF(F49&gt;0,VLOOKUP(F49/12,'Email Costs'!$A$5:$C$19,3),0)*(F49/1000))</f>
        <v>101861.10109664933</v>
      </c>
    </row>
    <row r="109" spans="1:6" s="45" customFormat="1">
      <c r="A109" s="95" t="s">
        <v>64</v>
      </c>
      <c r="B109" s="122">
        <f>1800*12</f>
        <v>21600</v>
      </c>
      <c r="C109" s="122">
        <f t="shared" ref="C109:F109" si="29">1800*12</f>
        <v>21600</v>
      </c>
      <c r="D109" s="122">
        <f t="shared" si="29"/>
        <v>21600</v>
      </c>
      <c r="E109" s="122">
        <f t="shared" si="29"/>
        <v>21600</v>
      </c>
      <c r="F109" s="122">
        <f t="shared" si="29"/>
        <v>21600</v>
      </c>
    </row>
    <row r="110" spans="1:6" s="45" customFormat="1">
      <c r="A110" s="95" t="s">
        <v>65</v>
      </c>
      <c r="B110" s="122">
        <f>(150*32)*12</f>
        <v>57600</v>
      </c>
      <c r="C110" s="122">
        <f t="shared" ref="C110" si="30">(150*32)*12</f>
        <v>57600</v>
      </c>
      <c r="D110" s="122">
        <f>(150*28)*12</f>
        <v>50400</v>
      </c>
      <c r="E110" s="122">
        <f t="shared" ref="E110:F110" si="31">(150*28)*12</f>
        <v>50400</v>
      </c>
      <c r="F110" s="122">
        <f t="shared" si="31"/>
        <v>50400</v>
      </c>
    </row>
    <row r="111" spans="1:6" s="61" customFormat="1">
      <c r="A111" s="105" t="s">
        <v>33</v>
      </c>
      <c r="B111" s="74">
        <f>SUM(B105:B110)</f>
        <v>129038.20453969744</v>
      </c>
      <c r="C111" s="74">
        <f>SUM(C105:C110)</f>
        <v>135747.43648120575</v>
      </c>
      <c r="D111" s="74">
        <f>SUM(D105:D110)</f>
        <v>186001.27900491992</v>
      </c>
      <c r="E111" s="74">
        <f>SUM(E105:E110)</f>
        <v>244554.1051901516</v>
      </c>
      <c r="F111" s="74">
        <f>SUM(F105:F110)</f>
        <v>319365.98829915881</v>
      </c>
    </row>
    <row r="112" spans="1:6">
      <c r="A112" s="92"/>
      <c r="B112" s="75"/>
      <c r="C112" s="75"/>
      <c r="D112" s="75"/>
      <c r="E112" s="75"/>
      <c r="F112" s="75"/>
    </row>
    <row r="113" spans="1:6" s="69" customFormat="1">
      <c r="A113" s="94" t="s">
        <v>8</v>
      </c>
      <c r="B113" s="126">
        <f>+B95+B102+B111</f>
        <v>392187.10943063279</v>
      </c>
      <c r="C113" s="126">
        <f t="shared" ref="C113:F113" si="32">+C95+C102+C111</f>
        <v>412425.80406633572</v>
      </c>
      <c r="D113" s="126">
        <f t="shared" si="32"/>
        <v>373236.42568244663</v>
      </c>
      <c r="E113" s="126">
        <f t="shared" si="32"/>
        <v>519065.08726350206</v>
      </c>
      <c r="F113" s="126">
        <f t="shared" si="32"/>
        <v>683644.2775619633</v>
      </c>
    </row>
    <row r="114" spans="1:6">
      <c r="A114" s="92"/>
      <c r="B114" s="75"/>
      <c r="C114" s="75"/>
      <c r="D114" s="75"/>
      <c r="E114" s="75"/>
      <c r="F114" s="75"/>
    </row>
    <row r="115" spans="1:6" s="176" customFormat="1">
      <c r="A115" s="175" t="s">
        <v>184</v>
      </c>
      <c r="B115" s="73">
        <f>B83-B113</f>
        <v>-287223.61306612077</v>
      </c>
      <c r="C115" s="73">
        <f>C83-C113</f>
        <v>75224.646834432322</v>
      </c>
      <c r="D115" s="73">
        <f>D83-D113</f>
        <v>1030132.8154566961</v>
      </c>
      <c r="E115" s="73">
        <f>E83-E113</f>
        <v>2692503.5691735749</v>
      </c>
      <c r="F115" s="73">
        <f>F83-F113</f>
        <v>4555636.5717967339</v>
      </c>
    </row>
  </sheetData>
  <phoneticPr fontId="6" type="noConversion"/>
  <pageMargins left="0.5" right="0.5" top="0.5" bottom="0.5" header="0.5" footer="0.5"/>
  <pageSetup scale="65" fitToHeight="0" orientation="portrait" horizontalDpi="4294967292" verticalDpi="4294967292"/>
  <ignoredErrors>
    <ignoredError sqref="C30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zoomScale="170" zoomScaleNormal="170" zoomScalePageLayoutView="17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RowHeight="13" x14ac:dyDescent="0"/>
  <cols>
    <col min="1" max="1" width="30.5703125" style="139" bestFit="1" customWidth="1"/>
    <col min="2" max="2" width="17" style="6" customWidth="1"/>
    <col min="3" max="3" width="15.7109375" style="139" customWidth="1"/>
    <col min="4" max="6" width="15.28515625" style="139" bestFit="1" customWidth="1"/>
    <col min="7" max="16384" width="10.7109375" style="139"/>
  </cols>
  <sheetData>
    <row r="1" spans="1:6" s="2" customFormat="1">
      <c r="A1" s="107" t="s">
        <v>159</v>
      </c>
      <c r="B1" s="5"/>
    </row>
    <row r="2" spans="1:6" s="2" customFormat="1">
      <c r="A2" s="202" t="s">
        <v>274</v>
      </c>
      <c r="B2" s="5"/>
    </row>
    <row r="3" spans="1:6" s="2" customFormat="1">
      <c r="A3" s="202" t="s">
        <v>172</v>
      </c>
      <c r="B3" s="5"/>
    </row>
    <row r="4" spans="1:6" s="2" customFormat="1">
      <c r="A4" s="156">
        <f ca="1">NOW()</f>
        <v>39644.605327430552</v>
      </c>
      <c r="B4" s="84"/>
    </row>
    <row r="5" spans="1:6" s="136" customFormat="1" ht="14" thickBot="1">
      <c r="A5" s="155"/>
      <c r="B5" s="137">
        <v>2012</v>
      </c>
      <c r="C5" s="138">
        <v>2013</v>
      </c>
      <c r="D5" s="138">
        <v>2014</v>
      </c>
      <c r="E5" s="138">
        <v>2015</v>
      </c>
      <c r="F5" s="138">
        <v>2016</v>
      </c>
    </row>
    <row r="6" spans="1:6" s="69" customFormat="1">
      <c r="A6" s="94" t="s">
        <v>163</v>
      </c>
      <c r="B6" s="188"/>
      <c r="C6" s="188"/>
      <c r="D6" s="188"/>
      <c r="E6" s="188"/>
      <c r="F6" s="188"/>
    </row>
    <row r="7" spans="1:6" s="69" customFormat="1">
      <c r="A7" s="94" t="s">
        <v>199</v>
      </c>
      <c r="B7" s="188"/>
      <c r="C7" s="188"/>
      <c r="D7" s="188"/>
      <c r="E7" s="188"/>
      <c r="F7" s="188"/>
    </row>
    <row r="8" spans="1:6">
      <c r="A8" s="98" t="s">
        <v>192</v>
      </c>
      <c r="B8" s="232">
        <f>+B47</f>
        <v>-297896.64000000013</v>
      </c>
      <c r="C8" s="232">
        <f t="shared" ref="C8:F8" si="0">+C47</f>
        <v>-268106.97599999979</v>
      </c>
      <c r="D8" s="232">
        <f t="shared" si="0"/>
        <v>-241296.27840000018</v>
      </c>
      <c r="E8" s="232">
        <f t="shared" si="0"/>
        <v>-217166.65055999975</v>
      </c>
      <c r="F8" s="232">
        <f t="shared" si="0"/>
        <v>-195449.98550400021</v>
      </c>
    </row>
    <row r="9" spans="1:6">
      <c r="A9" s="98" t="s">
        <v>193</v>
      </c>
      <c r="B9" s="232">
        <f>+B57</f>
        <v>2509200</v>
      </c>
      <c r="C9" s="232">
        <f t="shared" ref="C9:F9" si="1">+C57</f>
        <v>2145366</v>
      </c>
      <c r="D9" s="232">
        <f t="shared" si="1"/>
        <v>1806624</v>
      </c>
      <c r="E9" s="232">
        <f t="shared" si="1"/>
        <v>1492974</v>
      </c>
      <c r="F9" s="232">
        <f t="shared" si="1"/>
        <v>1204416</v>
      </c>
    </row>
    <row r="10" spans="1:6">
      <c r="A10" s="98" t="s">
        <v>194</v>
      </c>
      <c r="B10" s="232">
        <f>+B75</f>
        <v>421209.59039999999</v>
      </c>
      <c r="C10" s="232">
        <f t="shared" ref="C10:F10" si="2">+C75</f>
        <v>360134.199792</v>
      </c>
      <c r="D10" s="232">
        <f t="shared" si="2"/>
        <v>303270.90508799994</v>
      </c>
      <c r="E10" s="232">
        <f t="shared" si="2"/>
        <v>250619.70628799996</v>
      </c>
      <c r="F10" s="232">
        <f t="shared" si="2"/>
        <v>202180.60339199999</v>
      </c>
    </row>
    <row r="11" spans="1:6">
      <c r="A11" s="98" t="s">
        <v>195</v>
      </c>
      <c r="B11" s="232">
        <f>+B94</f>
        <v>1340925.3484058401</v>
      </c>
      <c r="C11" s="232">
        <f t="shared" ref="C11:F11" si="3">+C94</f>
        <v>1434940.0460905433</v>
      </c>
      <c r="D11" s="232">
        <f t="shared" si="3"/>
        <v>1446795.4639031282</v>
      </c>
      <c r="E11" s="232">
        <f t="shared" si="3"/>
        <v>1445077.6664685011</v>
      </c>
      <c r="F11" s="232">
        <f t="shared" si="3"/>
        <v>1424925.5386699592</v>
      </c>
    </row>
    <row r="12" spans="1:6">
      <c r="A12" s="98" t="s">
        <v>196</v>
      </c>
      <c r="B12" s="232">
        <f>+B110</f>
        <v>126000</v>
      </c>
      <c r="C12" s="232">
        <f t="shared" ref="C12:F12" si="4">+C110</f>
        <v>119700</v>
      </c>
      <c r="D12" s="232">
        <f t="shared" si="4"/>
        <v>113400</v>
      </c>
      <c r="E12" s="232">
        <f t="shared" si="4"/>
        <v>107100</v>
      </c>
      <c r="F12" s="232">
        <f t="shared" si="4"/>
        <v>100800</v>
      </c>
    </row>
    <row r="13" spans="1:6">
      <c r="A13" s="98" t="s">
        <v>197</v>
      </c>
      <c r="B13" s="232">
        <f>+B126</f>
        <v>72000</v>
      </c>
      <c r="C13" s="232">
        <f t="shared" ref="C13:F13" si="5">+C126</f>
        <v>64800</v>
      </c>
      <c r="D13" s="232">
        <f t="shared" si="5"/>
        <v>57600</v>
      </c>
      <c r="E13" s="232">
        <f t="shared" si="5"/>
        <v>50400</v>
      </c>
      <c r="F13" s="232">
        <f t="shared" si="5"/>
        <v>43200</v>
      </c>
    </row>
    <row r="14" spans="1:6">
      <c r="A14" s="98" t="s">
        <v>198</v>
      </c>
      <c r="B14" s="232">
        <f>+B134</f>
        <v>0</v>
      </c>
      <c r="C14" s="232">
        <f t="shared" ref="C14:F14" si="6">+C134</f>
        <v>0</v>
      </c>
      <c r="D14" s="232">
        <f t="shared" si="6"/>
        <v>0</v>
      </c>
      <c r="E14" s="232">
        <f t="shared" si="6"/>
        <v>0</v>
      </c>
      <c r="F14" s="232">
        <f t="shared" si="6"/>
        <v>0</v>
      </c>
    </row>
    <row r="15" spans="1:6">
      <c r="A15" s="98" t="s">
        <v>290</v>
      </c>
      <c r="B15" s="232">
        <f>+B176</f>
        <v>4602685.2539681811</v>
      </c>
      <c r="C15" s="232">
        <f t="shared" ref="C15:F15" si="7">+C176</f>
        <v>4722060.9682915527</v>
      </c>
      <c r="D15" s="232">
        <f t="shared" si="7"/>
        <v>4830632.8359372998</v>
      </c>
      <c r="E15" s="232">
        <f t="shared" si="7"/>
        <v>4874659.0985464621</v>
      </c>
      <c r="F15" s="232">
        <f t="shared" si="7"/>
        <v>4855441.8339072876</v>
      </c>
    </row>
    <row r="16" spans="1:6">
      <c r="A16" s="98" t="s">
        <v>200</v>
      </c>
      <c r="B16" s="232">
        <f>+B220</f>
        <v>1084141.7464158528</v>
      </c>
      <c r="C16" s="232">
        <f t="shared" ref="C16:F16" si="8">+C220</f>
        <v>1014570.2087230948</v>
      </c>
      <c r="D16" s="232">
        <f t="shared" si="8"/>
        <v>927270.11386240378</v>
      </c>
      <c r="E16" s="232">
        <f t="shared" si="8"/>
        <v>935686.70177780453</v>
      </c>
      <c r="F16" s="232">
        <f t="shared" si="8"/>
        <v>944648.95605496154</v>
      </c>
    </row>
    <row r="17" spans="1:6" s="69" customFormat="1">
      <c r="A17" s="94" t="s">
        <v>201</v>
      </c>
      <c r="B17" s="191">
        <f>SUM(B8:B16)</f>
        <v>9858265.2991898749</v>
      </c>
      <c r="C17" s="191">
        <f>SUM(C8:C16)</f>
        <v>9593464.4468971901</v>
      </c>
      <c r="D17" s="191">
        <f>SUM(D8:D16)</f>
        <v>9244297.0403908323</v>
      </c>
      <c r="E17" s="191">
        <f>SUM(E8:E16)</f>
        <v>8939350.5225207675</v>
      </c>
      <c r="F17" s="191">
        <f>SUM(F8:F16)</f>
        <v>8580162.9465202074</v>
      </c>
    </row>
    <row r="18" spans="1:6" s="69" customFormat="1">
      <c r="A18" s="94"/>
      <c r="B18" s="191"/>
      <c r="C18" s="191"/>
      <c r="D18" s="191"/>
      <c r="E18" s="191"/>
      <c r="F18" s="191"/>
    </row>
    <row r="19" spans="1:6" s="69" customFormat="1">
      <c r="A19" s="94" t="s">
        <v>222</v>
      </c>
      <c r="B19" s="191"/>
      <c r="C19" s="191"/>
      <c r="D19" s="191"/>
      <c r="E19" s="191"/>
      <c r="F19" s="191"/>
    </row>
    <row r="20" spans="1:6">
      <c r="A20" s="98" t="s">
        <v>202</v>
      </c>
      <c r="B20" s="232">
        <f>+B213</f>
        <v>6467945.541684119</v>
      </c>
      <c r="C20" s="232">
        <f t="shared" ref="C20:F20" si="9">+C213</f>
        <v>6281693.9756861832</v>
      </c>
      <c r="D20" s="232">
        <f t="shared" si="9"/>
        <v>6064237.1234651459</v>
      </c>
      <c r="E20" s="232">
        <f t="shared" si="9"/>
        <v>5805082.7667537946</v>
      </c>
      <c r="F20" s="232">
        <f t="shared" si="9"/>
        <v>5599229.9257819094</v>
      </c>
    </row>
    <row r="21" spans="1:6" s="69" customFormat="1">
      <c r="A21" s="94"/>
      <c r="B21" s="191"/>
      <c r="C21" s="191"/>
      <c r="D21" s="191"/>
      <c r="E21" s="191"/>
      <c r="F21" s="191"/>
    </row>
    <row r="22" spans="1:6" s="69" customFormat="1">
      <c r="A22" s="94" t="s">
        <v>203</v>
      </c>
      <c r="B22" s="191">
        <f>+B17-B20</f>
        <v>3390319.7575057559</v>
      </c>
      <c r="C22" s="191">
        <f>+C17-C20</f>
        <v>3311770.4712110069</v>
      </c>
      <c r="D22" s="191">
        <f>+D17-D20</f>
        <v>3180059.9169256864</v>
      </c>
      <c r="E22" s="191">
        <f>+E17-E20</f>
        <v>3134267.7557669729</v>
      </c>
      <c r="F22" s="191">
        <f>+F17-F20</f>
        <v>2980933.0207382981</v>
      </c>
    </row>
    <row r="23" spans="1:6" s="140" customFormat="1" ht="14" thickBot="1">
      <c r="A23" s="187"/>
      <c r="B23" s="190"/>
      <c r="C23" s="189"/>
      <c r="D23" s="189"/>
      <c r="E23" s="189"/>
      <c r="F23" s="189"/>
    </row>
    <row r="24" spans="1:6">
      <c r="A24" s="98"/>
      <c r="B24" s="39"/>
      <c r="C24" s="39"/>
      <c r="D24" s="39"/>
      <c r="E24" s="39"/>
      <c r="F24" s="39"/>
    </row>
    <row r="25" spans="1:6">
      <c r="A25" s="94" t="s">
        <v>103</v>
      </c>
      <c r="B25" s="39"/>
      <c r="C25" s="39"/>
      <c r="D25" s="39"/>
      <c r="E25" s="39"/>
      <c r="F25" s="39"/>
    </row>
    <row r="26" spans="1:6" s="9" customFormat="1">
      <c r="A26" s="93" t="s">
        <v>104</v>
      </c>
      <c r="B26" s="164">
        <v>6000000</v>
      </c>
      <c r="C26" s="164">
        <f>+B26*0.9</f>
        <v>5400000</v>
      </c>
      <c r="D26" s="164">
        <f>+C26*0.9</f>
        <v>4860000</v>
      </c>
      <c r="E26" s="164">
        <f>+D26*0.9</f>
        <v>4374000</v>
      </c>
      <c r="F26" s="164">
        <f>+E26*0.9</f>
        <v>3936600</v>
      </c>
    </row>
    <row r="27" spans="1:6" s="9" customFormat="1">
      <c r="A27" s="93" t="s">
        <v>105</v>
      </c>
      <c r="B27" s="53">
        <v>0.06</v>
      </c>
      <c r="C27" s="53">
        <v>0.06</v>
      </c>
      <c r="D27" s="53">
        <v>0.06</v>
      </c>
      <c r="E27" s="53">
        <v>0.06</v>
      </c>
      <c r="F27" s="53">
        <v>0.06</v>
      </c>
    </row>
    <row r="28" spans="1:6" s="9" customFormat="1">
      <c r="A28" s="93" t="s">
        <v>106</v>
      </c>
      <c r="B28" s="53">
        <v>0.42</v>
      </c>
      <c r="C28" s="53">
        <v>0.42</v>
      </c>
      <c r="D28" s="53">
        <v>0.42</v>
      </c>
      <c r="E28" s="53">
        <v>0.42</v>
      </c>
      <c r="F28" s="53">
        <v>0.42</v>
      </c>
    </row>
    <row r="29" spans="1:6">
      <c r="A29" s="98" t="s">
        <v>107</v>
      </c>
      <c r="B29" s="165">
        <f>+B26*B27</f>
        <v>360000</v>
      </c>
      <c r="C29" s="165">
        <f t="shared" ref="C29:F29" si="10">+C26*C27</f>
        <v>324000</v>
      </c>
      <c r="D29" s="165">
        <f t="shared" si="10"/>
        <v>291600</v>
      </c>
      <c r="E29" s="165">
        <f t="shared" si="10"/>
        <v>262440</v>
      </c>
      <c r="F29" s="165">
        <f t="shared" si="10"/>
        <v>236196</v>
      </c>
    </row>
    <row r="30" spans="1:6">
      <c r="A30" s="93" t="s">
        <v>108</v>
      </c>
      <c r="B30" s="165">
        <f>+B29*B28</f>
        <v>151200</v>
      </c>
      <c r="C30" s="165">
        <f t="shared" ref="C30:F30" si="11">+C29*C28</f>
        <v>136080</v>
      </c>
      <c r="D30" s="165">
        <f t="shared" si="11"/>
        <v>122472</v>
      </c>
      <c r="E30" s="165">
        <f t="shared" si="11"/>
        <v>110224.8</v>
      </c>
      <c r="F30" s="165">
        <f t="shared" si="11"/>
        <v>99202.319999999992</v>
      </c>
    </row>
    <row r="31" spans="1:6">
      <c r="A31" s="98" t="s">
        <v>109</v>
      </c>
      <c r="B31" s="9">
        <f>+B27*B28</f>
        <v>2.5199999999999997E-2</v>
      </c>
      <c r="C31" s="9">
        <f t="shared" ref="C31:F31" si="12">+C27*C28</f>
        <v>2.5199999999999997E-2</v>
      </c>
      <c r="D31" s="9">
        <f t="shared" si="12"/>
        <v>2.5199999999999997E-2</v>
      </c>
      <c r="E31" s="9">
        <f t="shared" si="12"/>
        <v>2.5199999999999997E-2</v>
      </c>
      <c r="F31" s="9">
        <f t="shared" si="12"/>
        <v>2.5199999999999997E-2</v>
      </c>
    </row>
    <row r="32" spans="1:6">
      <c r="A32" s="93" t="s">
        <v>110</v>
      </c>
      <c r="B32" s="166">
        <v>18</v>
      </c>
      <c r="C32" s="166">
        <v>18</v>
      </c>
      <c r="D32" s="166">
        <v>18</v>
      </c>
      <c r="E32" s="166">
        <v>18</v>
      </c>
      <c r="F32" s="166">
        <v>18</v>
      </c>
    </row>
    <row r="33" spans="1:6" s="69" customFormat="1">
      <c r="A33" s="132" t="s">
        <v>111</v>
      </c>
      <c r="B33" s="162">
        <f>+B32*B30</f>
        <v>2721600</v>
      </c>
      <c r="C33" s="162">
        <f t="shared" ref="C33:F33" si="13">+C32*C30</f>
        <v>2449440</v>
      </c>
      <c r="D33" s="162">
        <f t="shared" si="13"/>
        <v>2204496</v>
      </c>
      <c r="E33" s="162">
        <f t="shared" si="13"/>
        <v>1984046.4000000001</v>
      </c>
      <c r="F33" s="162">
        <f t="shared" si="13"/>
        <v>1785641.7599999998</v>
      </c>
    </row>
    <row r="34" spans="1:6">
      <c r="A34" s="93"/>
      <c r="B34" s="54"/>
      <c r="C34" s="56"/>
      <c r="D34" s="56"/>
      <c r="E34" s="56"/>
      <c r="F34" s="56"/>
    </row>
    <row r="35" spans="1:6" s="123" customFormat="1">
      <c r="A35" s="106" t="s">
        <v>183</v>
      </c>
      <c r="B35" s="46"/>
      <c r="C35" s="46"/>
      <c r="D35" s="46"/>
      <c r="E35" s="46"/>
      <c r="F35" s="46"/>
    </row>
    <row r="36" spans="1:6" s="123" customFormat="1">
      <c r="A36" s="106" t="s">
        <v>112</v>
      </c>
      <c r="B36" s="46"/>
      <c r="C36" s="46"/>
      <c r="D36" s="46"/>
      <c r="E36" s="46"/>
      <c r="F36" s="46"/>
    </row>
    <row r="37" spans="1:6">
      <c r="A37" s="93" t="s">
        <v>113</v>
      </c>
      <c r="B37" s="166">
        <v>400</v>
      </c>
      <c r="C37" s="166">
        <v>400</v>
      </c>
      <c r="D37" s="166">
        <v>400</v>
      </c>
      <c r="E37" s="166">
        <v>400</v>
      </c>
      <c r="F37" s="166">
        <v>400</v>
      </c>
    </row>
    <row r="38" spans="1:6" s="69" customFormat="1">
      <c r="A38" s="132" t="s">
        <v>114</v>
      </c>
      <c r="B38" s="76">
        <f>(+B26/1000)*B37</f>
        <v>2400000</v>
      </c>
      <c r="C38" s="76">
        <f>(+C26/1000)*C37</f>
        <v>2160000</v>
      </c>
      <c r="D38" s="76">
        <f>(+D26/1000)*D37</f>
        <v>1944000</v>
      </c>
      <c r="E38" s="76">
        <f>(+E26/1000)*E37</f>
        <v>1749600</v>
      </c>
      <c r="F38" s="76">
        <f>(+F26/1000)*F37</f>
        <v>1574640</v>
      </c>
    </row>
    <row r="40" spans="1:6">
      <c r="A40" s="106" t="s">
        <v>115</v>
      </c>
    </row>
    <row r="41" spans="1:6">
      <c r="A41" s="93" t="s">
        <v>118</v>
      </c>
      <c r="B41" s="168">
        <f>(+B29*80%)*2.1</f>
        <v>604800</v>
      </c>
      <c r="C41" s="168">
        <f>(+C29*80%)*2.1</f>
        <v>544320</v>
      </c>
      <c r="D41" s="168">
        <f>(+D29*80%)*2.1</f>
        <v>489888</v>
      </c>
      <c r="E41" s="168">
        <f>(+E29*80%)*2.1</f>
        <v>440899.2</v>
      </c>
      <c r="F41" s="168">
        <f>(+F29*80%)*2.1</f>
        <v>396809.28</v>
      </c>
    </row>
    <row r="42" spans="1:6">
      <c r="A42" s="93" t="s">
        <v>117</v>
      </c>
      <c r="B42" s="168">
        <f>(+B33*20%)*2.7%</f>
        <v>14696.640000000001</v>
      </c>
      <c r="C42" s="168">
        <f>(+C33*20%)*2.7%</f>
        <v>13226.976000000002</v>
      </c>
      <c r="D42" s="168">
        <f>(+D33*20%)*2.7%</f>
        <v>11904.278400000001</v>
      </c>
      <c r="E42" s="168">
        <f>(+E33*20%)*2.7%</f>
        <v>10713.850560000003</v>
      </c>
      <c r="F42" s="168">
        <f>(+F33*20%)*2.7%</f>
        <v>9642.4655039999998</v>
      </c>
    </row>
    <row r="43" spans="1:6">
      <c r="A43" s="132" t="s">
        <v>116</v>
      </c>
      <c r="B43" s="76">
        <f>+B42+B41</f>
        <v>619496.64</v>
      </c>
      <c r="C43" s="76">
        <f t="shared" ref="C43:F43" si="14">+C42+C41</f>
        <v>557546.97600000002</v>
      </c>
      <c r="D43" s="76">
        <f t="shared" si="14"/>
        <v>501792.27840000001</v>
      </c>
      <c r="E43" s="76">
        <f t="shared" si="14"/>
        <v>451613.05056</v>
      </c>
      <c r="F43" s="76">
        <f t="shared" si="14"/>
        <v>406451.74550400005</v>
      </c>
    </row>
    <row r="44" spans="1:6">
      <c r="B44" s="75"/>
      <c r="C44" s="163"/>
      <c r="D44" s="163"/>
      <c r="E44" s="163"/>
      <c r="F44" s="163"/>
    </row>
    <row r="45" spans="1:6">
      <c r="A45" s="132" t="s">
        <v>119</v>
      </c>
      <c r="B45" s="76">
        <f>+B43+B38</f>
        <v>3019496.64</v>
      </c>
      <c r="C45" s="76">
        <f t="shared" ref="C45:F45" si="15">+C43+C38</f>
        <v>2717546.9759999998</v>
      </c>
      <c r="D45" s="76">
        <f t="shared" si="15"/>
        <v>2445792.2784000002</v>
      </c>
      <c r="E45" s="76">
        <f t="shared" si="15"/>
        <v>2201213.0505599999</v>
      </c>
      <c r="F45" s="76">
        <f t="shared" si="15"/>
        <v>1981091.745504</v>
      </c>
    </row>
    <row r="46" spans="1:6">
      <c r="B46" s="75"/>
      <c r="C46" s="75"/>
      <c r="D46" s="75"/>
      <c r="E46" s="75"/>
      <c r="F46" s="75"/>
    </row>
    <row r="47" spans="1:6">
      <c r="A47" s="132" t="s">
        <v>120</v>
      </c>
      <c r="B47" s="76">
        <f>+B33-B45</f>
        <v>-297896.64000000013</v>
      </c>
      <c r="C47" s="76">
        <f>+C33-C45</f>
        <v>-268106.97599999979</v>
      </c>
      <c r="D47" s="76">
        <f>+D33-D45</f>
        <v>-241296.27840000018</v>
      </c>
      <c r="E47" s="76">
        <f>+E33-E45</f>
        <v>-217166.65055999975</v>
      </c>
      <c r="F47" s="76">
        <f>+F33-F45</f>
        <v>-195449.98550400021</v>
      </c>
    </row>
    <row r="48" spans="1:6" s="140" customFormat="1" ht="14" thickBot="1">
      <c r="B48" s="135"/>
    </row>
    <row r="50" spans="1:7">
      <c r="A50" s="69" t="s">
        <v>121</v>
      </c>
    </row>
    <row r="51" spans="1:7">
      <c r="A51" s="93" t="s">
        <v>127</v>
      </c>
      <c r="B51" s="166">
        <v>6.97</v>
      </c>
      <c r="C51" s="166">
        <v>6.97</v>
      </c>
      <c r="D51" s="166">
        <v>6.97</v>
      </c>
      <c r="E51" s="166">
        <v>6.97</v>
      </c>
      <c r="F51" s="166">
        <v>6.97</v>
      </c>
    </row>
    <row r="52" spans="1:7" s="9" customFormat="1">
      <c r="A52" s="93" t="s">
        <v>156</v>
      </c>
      <c r="B52" s="131">
        <f>50000*6</f>
        <v>300000</v>
      </c>
      <c r="C52" s="131">
        <f>+B52*0.9</f>
        <v>270000</v>
      </c>
      <c r="D52" s="131">
        <f>+C52-30000</f>
        <v>240000</v>
      </c>
      <c r="E52" s="131">
        <f>+D52-30000</f>
        <v>210000</v>
      </c>
      <c r="F52" s="131">
        <f>+E52-30000</f>
        <v>180000</v>
      </c>
    </row>
    <row r="53" spans="1:7" s="9" customFormat="1">
      <c r="A53" s="141" t="s">
        <v>126</v>
      </c>
      <c r="B53" s="41">
        <v>6</v>
      </c>
      <c r="C53" s="41">
        <v>6</v>
      </c>
      <c r="D53" s="41">
        <v>6</v>
      </c>
      <c r="E53" s="41">
        <v>6</v>
      </c>
      <c r="F53" s="41">
        <v>6</v>
      </c>
    </row>
    <row r="54" spans="1:7" s="9" customFormat="1">
      <c r="A54" s="93" t="s">
        <v>122</v>
      </c>
      <c r="B54" s="53">
        <v>0.4</v>
      </c>
      <c r="C54" s="53">
        <v>0.38</v>
      </c>
      <c r="D54" s="53">
        <v>0.36</v>
      </c>
      <c r="E54" s="53">
        <v>0.34</v>
      </c>
      <c r="F54" s="53">
        <v>0.32</v>
      </c>
    </row>
    <row r="55" spans="1:7" s="9" customFormat="1">
      <c r="A55" s="143" t="s">
        <v>123</v>
      </c>
      <c r="B55" s="6">
        <f>+B52*B54*B53</f>
        <v>720000</v>
      </c>
      <c r="C55" s="6">
        <f>+C52*C54*C53</f>
        <v>615600</v>
      </c>
      <c r="D55" s="6">
        <f>+D52*D54*D53</f>
        <v>518400</v>
      </c>
      <c r="E55" s="6">
        <f>+E52*E54*E53</f>
        <v>428400</v>
      </c>
      <c r="F55" s="6">
        <f>+F52*F54*F53</f>
        <v>345600</v>
      </c>
    </row>
    <row r="56" spans="1:7" s="9" customFormat="1">
      <c r="A56" s="144" t="s">
        <v>124</v>
      </c>
      <c r="B56" s="53">
        <v>0.5</v>
      </c>
      <c r="C56" s="53">
        <v>0.5</v>
      </c>
      <c r="D56" s="53">
        <v>0.5</v>
      </c>
      <c r="E56" s="53">
        <v>0.5</v>
      </c>
      <c r="F56" s="53">
        <v>0.5</v>
      </c>
    </row>
    <row r="57" spans="1:7" s="161" customFormat="1">
      <c r="A57" s="160" t="s">
        <v>125</v>
      </c>
      <c r="B57" s="169">
        <f>+B55*B51*B56</f>
        <v>2509200</v>
      </c>
      <c r="C57" s="169">
        <f t="shared" ref="C57:F57" si="16">+C55*C51*C56</f>
        <v>2145366</v>
      </c>
      <c r="D57" s="169">
        <f t="shared" si="16"/>
        <v>1806624</v>
      </c>
      <c r="E57" s="169">
        <f t="shared" si="16"/>
        <v>1492974</v>
      </c>
      <c r="F57" s="169">
        <f t="shared" si="16"/>
        <v>1204416</v>
      </c>
    </row>
    <row r="58" spans="1:7" s="159" customFormat="1" ht="14" thickBot="1">
      <c r="A58" s="157"/>
      <c r="B58" s="158"/>
      <c r="C58" s="158"/>
      <c r="D58" s="158"/>
      <c r="E58" s="158"/>
      <c r="F58" s="158"/>
    </row>
    <row r="59" spans="1:7" s="9" customFormat="1">
      <c r="A59" s="143"/>
      <c r="B59" s="41"/>
      <c r="C59" s="41"/>
      <c r="D59" s="41"/>
      <c r="E59" s="41"/>
      <c r="F59" s="41"/>
    </row>
    <row r="60" spans="1:7" s="9" customFormat="1">
      <c r="A60" s="106" t="s">
        <v>182</v>
      </c>
      <c r="B60" s="41"/>
      <c r="C60" s="41"/>
      <c r="D60" s="41"/>
      <c r="E60" s="41"/>
      <c r="F60" s="41"/>
    </row>
    <row r="61" spans="1:7" s="9" customFormat="1">
      <c r="A61" s="93" t="s">
        <v>130</v>
      </c>
      <c r="B61" s="53">
        <v>4.4999999999999998E-2</v>
      </c>
      <c r="C61" s="53">
        <v>4.4999999999999998E-2</v>
      </c>
      <c r="D61" s="53">
        <v>4.4999999999999998E-2</v>
      </c>
      <c r="E61" s="53">
        <v>4.4999999999999998E-2</v>
      </c>
      <c r="F61" s="53">
        <v>4.4999999999999998E-2</v>
      </c>
    </row>
    <row r="62" spans="1:7">
      <c r="A62" s="98" t="s">
        <v>107</v>
      </c>
      <c r="B62" s="7">
        <f t="shared" ref="B62:G62" si="17">+B55*B61</f>
        <v>32400</v>
      </c>
      <c r="C62" s="7">
        <f t="shared" si="17"/>
        <v>27702</v>
      </c>
      <c r="D62" s="7">
        <f t="shared" si="17"/>
        <v>23328</v>
      </c>
      <c r="E62" s="7">
        <f t="shared" si="17"/>
        <v>19278</v>
      </c>
      <c r="F62" s="7">
        <f t="shared" si="17"/>
        <v>15552</v>
      </c>
      <c r="G62" s="7">
        <f t="shared" si="17"/>
        <v>0</v>
      </c>
    </row>
    <row r="63" spans="1:7" s="9" customFormat="1">
      <c r="A63" s="93" t="s">
        <v>106</v>
      </c>
      <c r="B63" s="53">
        <v>0.82</v>
      </c>
      <c r="C63" s="53">
        <v>0.82</v>
      </c>
      <c r="D63" s="53">
        <v>0.82</v>
      </c>
      <c r="E63" s="53">
        <v>0.82</v>
      </c>
      <c r="F63" s="53">
        <v>0.82</v>
      </c>
    </row>
    <row r="64" spans="1:7">
      <c r="A64" s="93" t="s">
        <v>108</v>
      </c>
      <c r="B64" s="7">
        <f>+B62*B63</f>
        <v>26568</v>
      </c>
      <c r="C64" s="7">
        <f>+C62*C63</f>
        <v>22715.64</v>
      </c>
      <c r="D64" s="7">
        <f>+D62*D63</f>
        <v>19128.96</v>
      </c>
      <c r="E64" s="7">
        <f>+E62*E63</f>
        <v>15807.96</v>
      </c>
      <c r="F64" s="7">
        <f>+F62*F63</f>
        <v>12752.64</v>
      </c>
    </row>
    <row r="65" spans="1:6">
      <c r="A65" s="98" t="s">
        <v>109</v>
      </c>
      <c r="B65" s="9">
        <f>IF(B55,+B64/B55,0)</f>
        <v>3.6900000000000002E-2</v>
      </c>
      <c r="C65" s="9">
        <f>IF(C55,+C64/C55,0)</f>
        <v>3.6900000000000002E-2</v>
      </c>
      <c r="D65" s="9">
        <f>IF(D55,+D64/D55,0)</f>
        <v>3.6899999999999995E-2</v>
      </c>
      <c r="E65" s="9">
        <f>IF(E55,+E64/E55,0)</f>
        <v>3.6899999999999995E-2</v>
      </c>
      <c r="F65" s="9">
        <f>IF(F55,+F64/F55,0)</f>
        <v>3.6899999999999995E-2</v>
      </c>
    </row>
    <row r="66" spans="1:6">
      <c r="A66" s="93" t="s">
        <v>110</v>
      </c>
      <c r="B66" s="166">
        <v>18</v>
      </c>
      <c r="C66" s="166">
        <v>18</v>
      </c>
      <c r="D66" s="166">
        <v>18</v>
      </c>
      <c r="E66" s="166">
        <v>18</v>
      </c>
      <c r="F66" s="166">
        <v>18</v>
      </c>
    </row>
    <row r="67" spans="1:6" s="69" customFormat="1">
      <c r="A67" s="132" t="s">
        <v>128</v>
      </c>
      <c r="B67" s="167">
        <f>+B66*B64</f>
        <v>478224</v>
      </c>
      <c r="C67" s="167">
        <f t="shared" ref="C67:F67" si="18">+C66*C64</f>
        <v>408881.52</v>
      </c>
      <c r="D67" s="167">
        <f t="shared" si="18"/>
        <v>344321.27999999997</v>
      </c>
      <c r="E67" s="167">
        <f t="shared" si="18"/>
        <v>284543.27999999997</v>
      </c>
      <c r="F67" s="167">
        <f t="shared" si="18"/>
        <v>229547.51999999999</v>
      </c>
    </row>
    <row r="68" spans="1:6">
      <c r="A68" s="93"/>
      <c r="B68" s="172"/>
      <c r="C68" s="170"/>
      <c r="D68" s="170"/>
      <c r="E68" s="170"/>
      <c r="F68" s="170"/>
    </row>
    <row r="69" spans="1:6" s="123" customFormat="1">
      <c r="A69" s="106" t="s">
        <v>183</v>
      </c>
      <c r="B69" s="173"/>
      <c r="C69" s="173"/>
      <c r="D69" s="173"/>
      <c r="E69" s="173"/>
      <c r="F69" s="173"/>
    </row>
    <row r="70" spans="1:6">
      <c r="A70" s="106" t="s">
        <v>115</v>
      </c>
      <c r="B70" s="170"/>
      <c r="C70" s="174"/>
      <c r="D70" s="174"/>
      <c r="E70" s="174"/>
      <c r="F70" s="174"/>
    </row>
    <row r="71" spans="1:6">
      <c r="A71" s="93" t="s">
        <v>118</v>
      </c>
      <c r="B71" s="170">
        <f>(+B62*80%)*2.1</f>
        <v>54432</v>
      </c>
      <c r="C71" s="170">
        <f>(+C62*80%)*2.1</f>
        <v>46539.360000000008</v>
      </c>
      <c r="D71" s="170">
        <f>(+D62*80%)*2.1</f>
        <v>39191.040000000008</v>
      </c>
      <c r="E71" s="170">
        <f>(+E62*80%)*2.1</f>
        <v>32387.040000000005</v>
      </c>
      <c r="F71" s="170">
        <f>(+F62*80%)*2.1</f>
        <v>26127.360000000001</v>
      </c>
    </row>
    <row r="72" spans="1:6">
      <c r="A72" s="93" t="s">
        <v>117</v>
      </c>
      <c r="B72" s="170">
        <f>(B67*20%)*2.7%</f>
        <v>2582.4096000000004</v>
      </c>
      <c r="C72" s="170">
        <f>(C67*20%)*2.7%</f>
        <v>2207.9602080000004</v>
      </c>
      <c r="D72" s="170">
        <f>(D67*20%)*2.7%</f>
        <v>1859.334912</v>
      </c>
      <c r="E72" s="170">
        <f>(E67*20%)*2.7%</f>
        <v>1536.5337120000002</v>
      </c>
      <c r="F72" s="170">
        <f>(F67*20%)*2.7%</f>
        <v>1239.5566080000001</v>
      </c>
    </row>
    <row r="73" spans="1:6">
      <c r="A73" s="132" t="s">
        <v>116</v>
      </c>
      <c r="B73" s="167">
        <f>+B72+B71</f>
        <v>57014.409599999999</v>
      </c>
      <c r="C73" s="167">
        <f t="shared" ref="C73" si="19">+C72+C71</f>
        <v>48747.320208000005</v>
      </c>
      <c r="D73" s="167">
        <f t="shared" ref="D73" si="20">+D72+D71</f>
        <v>41050.374912000007</v>
      </c>
      <c r="E73" s="167">
        <f t="shared" ref="E73" si="21">+E72+E71</f>
        <v>33923.573712000005</v>
      </c>
      <c r="F73" s="167">
        <f t="shared" ref="F73" si="22">+F72+F71</f>
        <v>27366.916608</v>
      </c>
    </row>
    <row r="74" spans="1:6">
      <c r="B74" s="170"/>
      <c r="C74" s="174"/>
      <c r="D74" s="174"/>
      <c r="E74" s="174"/>
      <c r="F74" s="174"/>
    </row>
    <row r="75" spans="1:6">
      <c r="A75" s="132" t="s">
        <v>129</v>
      </c>
      <c r="B75" s="167">
        <f>+B67-B73</f>
        <v>421209.59039999999</v>
      </c>
      <c r="C75" s="167">
        <f t="shared" ref="C75:F75" si="23">+C67-C73</f>
        <v>360134.199792</v>
      </c>
      <c r="D75" s="167">
        <f t="shared" si="23"/>
        <v>303270.90508799994</v>
      </c>
      <c r="E75" s="167">
        <f t="shared" si="23"/>
        <v>250619.70628799996</v>
      </c>
      <c r="F75" s="167">
        <f t="shared" si="23"/>
        <v>202180.60339199999</v>
      </c>
    </row>
    <row r="76" spans="1:6" s="140" customFormat="1" ht="14" thickBot="1">
      <c r="B76" s="135"/>
    </row>
    <row r="78" spans="1:6">
      <c r="A78" s="69" t="s">
        <v>131</v>
      </c>
      <c r="B78" s="123"/>
      <c r="C78" s="123"/>
      <c r="D78" s="123"/>
      <c r="E78" s="123"/>
      <c r="F78" s="123"/>
    </row>
    <row r="79" spans="1:6" s="9" customFormat="1">
      <c r="A79" s="93" t="s">
        <v>132</v>
      </c>
      <c r="B79" s="58">
        <f>B180*6</f>
        <v>3668649.4574879995</v>
      </c>
      <c r="C79" s="58">
        <f>C180*6</f>
        <v>3925865.0959774414</v>
      </c>
      <c r="D79" s="58">
        <f>D180*6</f>
        <v>3958300.4378688745</v>
      </c>
      <c r="E79" s="58">
        <f>E180*6</f>
        <v>3953600.7007551631</v>
      </c>
      <c r="F79" s="58">
        <f>F180*6</f>
        <v>3898466.3170228824</v>
      </c>
    </row>
    <row r="80" spans="1:6" s="9" customFormat="1">
      <c r="A80" s="142" t="s">
        <v>105</v>
      </c>
      <c r="B80" s="53">
        <v>2.7E-2</v>
      </c>
      <c r="C80" s="53">
        <v>2.7E-2</v>
      </c>
      <c r="D80" s="53">
        <v>2.7E-2</v>
      </c>
      <c r="E80" s="53">
        <v>2.7E-2</v>
      </c>
      <c r="F80" s="53">
        <v>2.7E-2</v>
      </c>
    </row>
    <row r="81" spans="1:6">
      <c r="A81" s="98" t="s">
        <v>107</v>
      </c>
      <c r="B81" s="7">
        <f>+B79*B80</f>
        <v>99053.535352175983</v>
      </c>
      <c r="C81" s="7">
        <f>+C79*C80</f>
        <v>105998.35759139092</v>
      </c>
      <c r="D81" s="7">
        <f>+D79*D80</f>
        <v>106874.11182245961</v>
      </c>
      <c r="E81" s="7">
        <f>+E79*E80</f>
        <v>106747.21892038941</v>
      </c>
      <c r="F81" s="7">
        <f>+F79*F80</f>
        <v>105258.59055961782</v>
      </c>
    </row>
    <row r="82" spans="1:6" s="9" customFormat="1">
      <c r="A82" s="93" t="s">
        <v>106</v>
      </c>
      <c r="B82" s="53">
        <v>0.85</v>
      </c>
      <c r="C82" s="53">
        <v>0.85</v>
      </c>
      <c r="D82" s="53">
        <v>0.85</v>
      </c>
      <c r="E82" s="53">
        <v>0.85</v>
      </c>
      <c r="F82" s="53">
        <v>0.85</v>
      </c>
    </row>
    <row r="83" spans="1:6">
      <c r="A83" s="93" t="s">
        <v>108</v>
      </c>
      <c r="B83" s="7">
        <f>+B81*B82</f>
        <v>84195.50504934958</v>
      </c>
      <c r="C83" s="7">
        <f>+C81*C82</f>
        <v>90098.603952682271</v>
      </c>
      <c r="D83" s="7">
        <f>+D81*D82</f>
        <v>90842.995049090663</v>
      </c>
      <c r="E83" s="7">
        <f>+E81*E82</f>
        <v>90735.136082330995</v>
      </c>
      <c r="F83" s="7">
        <f>+F81*F82</f>
        <v>89469.801975675146</v>
      </c>
    </row>
    <row r="84" spans="1:6">
      <c r="A84" s="98" t="s">
        <v>109</v>
      </c>
      <c r="B84" s="9">
        <f>+B80*B82</f>
        <v>2.2949999999999998E-2</v>
      </c>
      <c r="C84" s="9">
        <f>+C80*C82</f>
        <v>2.2949999999999998E-2</v>
      </c>
      <c r="D84" s="9">
        <f>+D80*D82</f>
        <v>2.2949999999999998E-2</v>
      </c>
      <c r="E84" s="9">
        <f>+E80*E82</f>
        <v>2.2949999999999998E-2</v>
      </c>
      <c r="F84" s="9">
        <f>+F80*F82</f>
        <v>2.2949999999999998E-2</v>
      </c>
    </row>
    <row r="85" spans="1:6">
      <c r="A85" s="93" t="s">
        <v>110</v>
      </c>
      <c r="B85" s="133">
        <v>18</v>
      </c>
      <c r="C85" s="133">
        <v>18</v>
      </c>
      <c r="D85" s="133">
        <v>18</v>
      </c>
      <c r="E85" s="133">
        <v>18</v>
      </c>
      <c r="F85" s="133">
        <v>18</v>
      </c>
    </row>
    <row r="86" spans="1:6" s="69" customFormat="1">
      <c r="A86" s="132" t="s">
        <v>133</v>
      </c>
      <c r="B86" s="134">
        <f>+B85*B83</f>
        <v>1515519.0908882925</v>
      </c>
      <c r="C86" s="134">
        <f t="shared" ref="C86" si="24">+C85*C83</f>
        <v>1621774.8711482808</v>
      </c>
      <c r="D86" s="134">
        <f t="shared" ref="D86" si="25">+D85*D83</f>
        <v>1635173.910883632</v>
      </c>
      <c r="E86" s="134">
        <f t="shared" ref="E86" si="26">+E85*E83</f>
        <v>1633232.4494819578</v>
      </c>
      <c r="F86" s="134">
        <f t="shared" ref="F86" si="27">+F85*F83</f>
        <v>1610456.4355621526</v>
      </c>
    </row>
    <row r="87" spans="1:6">
      <c r="A87" s="93"/>
      <c r="B87" s="146"/>
      <c r="C87" s="147"/>
      <c r="D87" s="147"/>
      <c r="E87" s="147"/>
      <c r="F87" s="147"/>
    </row>
    <row r="88" spans="1:6" s="123" customFormat="1">
      <c r="A88" s="106" t="s">
        <v>183</v>
      </c>
      <c r="B88" s="148"/>
      <c r="C88" s="148"/>
      <c r="D88" s="148"/>
      <c r="E88" s="148"/>
      <c r="F88" s="148"/>
    </row>
    <row r="89" spans="1:6">
      <c r="A89" s="106" t="s">
        <v>115</v>
      </c>
      <c r="B89" s="149"/>
      <c r="C89" s="150"/>
      <c r="D89" s="150"/>
      <c r="E89" s="150"/>
      <c r="F89" s="150"/>
    </row>
    <row r="90" spans="1:6">
      <c r="A90" s="93" t="s">
        <v>118</v>
      </c>
      <c r="B90" s="171">
        <f>(+B81*80%)*2.1</f>
        <v>166409.93939165567</v>
      </c>
      <c r="C90" s="171">
        <f>(+C81*80%)*2.1</f>
        <v>178077.24075353675</v>
      </c>
      <c r="D90" s="171">
        <f>(+D81*80%)*2.1</f>
        <v>179548.50786173216</v>
      </c>
      <c r="E90" s="171">
        <f>(+E81*80%)*2.1</f>
        <v>179335.32778625423</v>
      </c>
      <c r="F90" s="171">
        <f>(+F81*80%)*2.1</f>
        <v>176834.43214015797</v>
      </c>
    </row>
    <row r="91" spans="1:6">
      <c r="A91" s="93" t="s">
        <v>117</v>
      </c>
      <c r="B91" s="171">
        <f>(B86*20%)*2.7%</f>
        <v>8183.8030907967814</v>
      </c>
      <c r="C91" s="171">
        <f>(C86*20%)*2.7%</f>
        <v>8757.5843042007182</v>
      </c>
      <c r="D91" s="171">
        <f>(D86*20%)*2.7%</f>
        <v>8829.9391187716155</v>
      </c>
      <c r="E91" s="171">
        <f>(E86*20%)*2.7%</f>
        <v>8819.455227202574</v>
      </c>
      <c r="F91" s="171">
        <f>(F86*20%)*2.7%</f>
        <v>8696.4647520356266</v>
      </c>
    </row>
    <row r="92" spans="1:6">
      <c r="A92" s="132" t="s">
        <v>116</v>
      </c>
      <c r="B92" s="126">
        <f>+B91+B90</f>
        <v>174593.74248245245</v>
      </c>
      <c r="C92" s="126">
        <f t="shared" ref="C92:F92" si="28">+C91+C90</f>
        <v>186834.82505773747</v>
      </c>
      <c r="D92" s="126">
        <f t="shared" si="28"/>
        <v>188378.44698050377</v>
      </c>
      <c r="E92" s="126">
        <f t="shared" si="28"/>
        <v>188154.78301345679</v>
      </c>
      <c r="F92" s="126">
        <f t="shared" si="28"/>
        <v>185530.89689219359</v>
      </c>
    </row>
    <row r="93" spans="1:6">
      <c r="B93" s="149"/>
      <c r="C93" s="149"/>
      <c r="D93" s="149"/>
      <c r="E93" s="149"/>
      <c r="F93" s="149"/>
    </row>
    <row r="94" spans="1:6">
      <c r="A94" s="132" t="s">
        <v>134</v>
      </c>
      <c r="B94" s="126">
        <f>+B86-B92</f>
        <v>1340925.3484058401</v>
      </c>
      <c r="C94" s="126">
        <f>+C86-C92</f>
        <v>1434940.0460905433</v>
      </c>
      <c r="D94" s="126">
        <f>+D86-D92</f>
        <v>1446795.4639031282</v>
      </c>
      <c r="E94" s="126">
        <f>+E86-E92</f>
        <v>1445077.6664685011</v>
      </c>
      <c r="F94" s="126">
        <f>+F86-F92</f>
        <v>1424925.5386699592</v>
      </c>
    </row>
    <row r="95" spans="1:6" s="140" customFormat="1" ht="14" thickBot="1">
      <c r="B95" s="135"/>
    </row>
    <row r="97" spans="1:6">
      <c r="A97" s="69" t="s">
        <v>135</v>
      </c>
    </row>
    <row r="98" spans="1:6" s="9" customFormat="1">
      <c r="A98" s="93" t="s">
        <v>136</v>
      </c>
      <c r="B98" s="131">
        <v>20000</v>
      </c>
      <c r="C98" s="131">
        <f>+B98-1000</f>
        <v>19000</v>
      </c>
      <c r="D98" s="131">
        <f t="shared" ref="D98:F98" si="29">+C98-1000</f>
        <v>18000</v>
      </c>
      <c r="E98" s="131">
        <f t="shared" si="29"/>
        <v>17000</v>
      </c>
      <c r="F98" s="131">
        <f t="shared" si="29"/>
        <v>16000</v>
      </c>
    </row>
    <row r="99" spans="1:6" s="9" customFormat="1">
      <c r="A99" s="143" t="s">
        <v>124</v>
      </c>
      <c r="B99" s="53">
        <v>0.35</v>
      </c>
      <c r="C99" s="53">
        <v>0.35</v>
      </c>
      <c r="D99" s="53">
        <v>0.35</v>
      </c>
      <c r="E99" s="53">
        <v>0.35</v>
      </c>
      <c r="F99" s="53">
        <v>0.35</v>
      </c>
    </row>
    <row r="100" spans="1:6">
      <c r="A100" s="93" t="s">
        <v>155</v>
      </c>
      <c r="B100" s="166">
        <v>18</v>
      </c>
      <c r="C100" s="166">
        <v>18</v>
      </c>
      <c r="D100" s="166">
        <v>18</v>
      </c>
      <c r="E100" s="166">
        <v>18</v>
      </c>
      <c r="F100" s="166">
        <v>18</v>
      </c>
    </row>
    <row r="101" spans="1:6" s="9" customFormat="1">
      <c r="A101" s="143" t="s">
        <v>157</v>
      </c>
      <c r="B101" s="166">
        <f>+B100*B99</f>
        <v>6.3</v>
      </c>
      <c r="C101" s="166">
        <f t="shared" ref="C101:F101" si="30">+C100*C99</f>
        <v>6.3</v>
      </c>
      <c r="D101" s="166">
        <f t="shared" si="30"/>
        <v>6.3</v>
      </c>
      <c r="E101" s="166">
        <f t="shared" si="30"/>
        <v>6.3</v>
      </c>
      <c r="F101" s="166">
        <f t="shared" si="30"/>
        <v>6.3</v>
      </c>
    </row>
    <row r="102" spans="1:6" s="127" customFormat="1">
      <c r="A102" s="145" t="s">
        <v>125</v>
      </c>
      <c r="B102" s="76">
        <f>+B101*B98</f>
        <v>126000</v>
      </c>
      <c r="C102" s="76">
        <f t="shared" ref="C102:F102" si="31">+C101*C98</f>
        <v>119700</v>
      </c>
      <c r="D102" s="76">
        <f t="shared" si="31"/>
        <v>113400</v>
      </c>
      <c r="E102" s="76">
        <f t="shared" si="31"/>
        <v>107100</v>
      </c>
      <c r="F102" s="76">
        <f t="shared" si="31"/>
        <v>100800</v>
      </c>
    </row>
    <row r="103" spans="1:6">
      <c r="A103" s="93"/>
      <c r="B103" s="146"/>
      <c r="C103" s="147"/>
      <c r="D103" s="147"/>
      <c r="E103" s="147"/>
      <c r="F103" s="147"/>
    </row>
    <row r="104" spans="1:6" s="123" customFormat="1">
      <c r="A104" s="106" t="s">
        <v>183</v>
      </c>
      <c r="B104" s="148"/>
      <c r="C104" s="148"/>
      <c r="D104" s="148"/>
      <c r="E104" s="148"/>
      <c r="F104" s="148"/>
    </row>
    <row r="105" spans="1:6">
      <c r="A105" s="106" t="s">
        <v>115</v>
      </c>
      <c r="B105" s="149"/>
      <c r="C105" s="150"/>
      <c r="D105" s="150"/>
      <c r="E105" s="150"/>
      <c r="F105" s="150"/>
    </row>
    <row r="106" spans="1:6">
      <c r="A106" s="93" t="s">
        <v>118</v>
      </c>
      <c r="B106" s="172">
        <v>0</v>
      </c>
      <c r="C106" s="172">
        <v>0</v>
      </c>
      <c r="D106" s="172">
        <v>0</v>
      </c>
      <c r="E106" s="172">
        <v>0</v>
      </c>
      <c r="F106" s="172">
        <v>0</v>
      </c>
    </row>
    <row r="107" spans="1:6">
      <c r="A107" s="93" t="s">
        <v>117</v>
      </c>
      <c r="B107" s="172">
        <v>0</v>
      </c>
      <c r="C107" s="172">
        <v>0</v>
      </c>
      <c r="D107" s="172">
        <v>0</v>
      </c>
      <c r="E107" s="172">
        <v>0</v>
      </c>
      <c r="F107" s="172">
        <v>0</v>
      </c>
    </row>
    <row r="108" spans="1:6">
      <c r="A108" s="132" t="s">
        <v>116</v>
      </c>
      <c r="B108" s="126">
        <f>+B107+B106</f>
        <v>0</v>
      </c>
      <c r="C108" s="126">
        <f t="shared" ref="C108" si="32">+C107+C106</f>
        <v>0</v>
      </c>
      <c r="D108" s="126">
        <f t="shared" ref="D108" si="33">+D107+D106</f>
        <v>0</v>
      </c>
      <c r="E108" s="126">
        <f t="shared" ref="E108" si="34">+E107+E106</f>
        <v>0</v>
      </c>
      <c r="F108" s="126">
        <f t="shared" ref="F108" si="35">+F107+F106</f>
        <v>0</v>
      </c>
    </row>
    <row r="109" spans="1:6">
      <c r="B109" s="149"/>
      <c r="C109" s="149"/>
      <c r="D109" s="149"/>
      <c r="E109" s="149"/>
      <c r="F109" s="149"/>
    </row>
    <row r="110" spans="1:6">
      <c r="A110" s="132" t="s">
        <v>137</v>
      </c>
      <c r="B110" s="126">
        <f>+B102-B108</f>
        <v>126000</v>
      </c>
      <c r="C110" s="126">
        <f>+C102-C108</f>
        <v>119700</v>
      </c>
      <c r="D110" s="126">
        <f>+D102-D108</f>
        <v>113400</v>
      </c>
      <c r="E110" s="126">
        <f>+E102-E108</f>
        <v>107100</v>
      </c>
      <c r="F110" s="126">
        <f>+F102-F108</f>
        <v>100800</v>
      </c>
    </row>
    <row r="111" spans="1:6" s="140" customFormat="1" ht="14" thickBot="1">
      <c r="B111" s="135"/>
    </row>
    <row r="113" spans="1:6">
      <c r="A113" s="69" t="s">
        <v>138</v>
      </c>
    </row>
    <row r="114" spans="1:6" s="9" customFormat="1">
      <c r="A114" s="93" t="s">
        <v>136</v>
      </c>
      <c r="B114" s="131">
        <v>5000</v>
      </c>
      <c r="C114" s="131">
        <f>+B114-500</f>
        <v>4500</v>
      </c>
      <c r="D114" s="131">
        <f>+C114-500</f>
        <v>4000</v>
      </c>
      <c r="E114" s="131">
        <f>+D114-500</f>
        <v>3500</v>
      </c>
      <c r="F114" s="131">
        <f>+E114-500</f>
        <v>3000</v>
      </c>
    </row>
    <row r="115" spans="1:6" s="9" customFormat="1">
      <c r="A115" s="143" t="s">
        <v>124</v>
      </c>
      <c r="B115" s="53">
        <v>0.8</v>
      </c>
      <c r="C115" s="53">
        <v>0.8</v>
      </c>
      <c r="D115" s="53">
        <v>0.8</v>
      </c>
      <c r="E115" s="53">
        <v>0.8</v>
      </c>
      <c r="F115" s="53">
        <v>0.8</v>
      </c>
    </row>
    <row r="116" spans="1:6">
      <c r="A116" s="93" t="s">
        <v>155</v>
      </c>
      <c r="B116" s="166">
        <v>18</v>
      </c>
      <c r="C116" s="166">
        <v>18</v>
      </c>
      <c r="D116" s="166">
        <v>18</v>
      </c>
      <c r="E116" s="166">
        <v>18</v>
      </c>
      <c r="F116" s="166">
        <v>18</v>
      </c>
    </row>
    <row r="117" spans="1:6" s="9" customFormat="1">
      <c r="A117" s="143" t="s">
        <v>157</v>
      </c>
      <c r="B117" s="166">
        <f>+B116*B115</f>
        <v>14.4</v>
      </c>
      <c r="C117" s="166">
        <f t="shared" ref="C117" si="36">+C116*C115</f>
        <v>14.4</v>
      </c>
      <c r="D117" s="166">
        <f t="shared" ref="D117" si="37">+D116*D115</f>
        <v>14.4</v>
      </c>
      <c r="E117" s="166">
        <f t="shared" ref="E117" si="38">+E116*E115</f>
        <v>14.4</v>
      </c>
      <c r="F117" s="166">
        <f t="shared" ref="F117" si="39">+F116*F115</f>
        <v>14.4</v>
      </c>
    </row>
    <row r="118" spans="1:6" s="127" customFormat="1">
      <c r="A118" s="145" t="s">
        <v>125</v>
      </c>
      <c r="B118" s="126">
        <f>+B117*B114</f>
        <v>72000</v>
      </c>
      <c r="C118" s="126">
        <f t="shared" ref="C118" si="40">+C117*C114</f>
        <v>64800</v>
      </c>
      <c r="D118" s="126">
        <f t="shared" ref="D118" si="41">+D117*D114</f>
        <v>57600</v>
      </c>
      <c r="E118" s="126">
        <f t="shared" ref="E118" si="42">+E117*E114</f>
        <v>50400</v>
      </c>
      <c r="F118" s="126">
        <f t="shared" ref="F118" si="43">+F117*F114</f>
        <v>43200</v>
      </c>
    </row>
    <row r="119" spans="1:6">
      <c r="A119" s="93"/>
      <c r="B119" s="146"/>
      <c r="C119" s="147"/>
      <c r="D119" s="147"/>
      <c r="E119" s="147"/>
      <c r="F119" s="147"/>
    </row>
    <row r="120" spans="1:6" s="123" customFormat="1">
      <c r="A120" s="106" t="s">
        <v>183</v>
      </c>
      <c r="B120" s="148"/>
      <c r="C120" s="148"/>
      <c r="D120" s="148"/>
      <c r="E120" s="148"/>
      <c r="F120" s="148"/>
    </row>
    <row r="121" spans="1:6">
      <c r="A121" s="106" t="s">
        <v>115</v>
      </c>
      <c r="B121" s="149"/>
      <c r="C121" s="150"/>
      <c r="D121" s="150"/>
      <c r="E121" s="150"/>
      <c r="F121" s="150"/>
    </row>
    <row r="122" spans="1:6">
      <c r="A122" s="93" t="s">
        <v>118</v>
      </c>
      <c r="B122" s="172">
        <v>0</v>
      </c>
      <c r="C122" s="172">
        <v>0</v>
      </c>
      <c r="D122" s="172">
        <v>0</v>
      </c>
      <c r="E122" s="172">
        <v>0</v>
      </c>
      <c r="F122" s="172">
        <v>0</v>
      </c>
    </row>
    <row r="123" spans="1:6">
      <c r="A123" s="93" t="s">
        <v>117</v>
      </c>
      <c r="B123" s="172">
        <v>0</v>
      </c>
      <c r="C123" s="172">
        <v>0</v>
      </c>
      <c r="D123" s="172">
        <v>0</v>
      </c>
      <c r="E123" s="172">
        <v>0</v>
      </c>
      <c r="F123" s="172">
        <v>0</v>
      </c>
    </row>
    <row r="124" spans="1:6">
      <c r="A124" s="132" t="s">
        <v>116</v>
      </c>
      <c r="B124" s="126">
        <f>+B123+B122</f>
        <v>0</v>
      </c>
      <c r="C124" s="126">
        <f t="shared" ref="C124" si="44">+C123+C122</f>
        <v>0</v>
      </c>
      <c r="D124" s="126">
        <f t="shared" ref="D124" si="45">+D123+D122</f>
        <v>0</v>
      </c>
      <c r="E124" s="126">
        <f t="shared" ref="E124" si="46">+E123+E122</f>
        <v>0</v>
      </c>
      <c r="F124" s="126">
        <f t="shared" ref="F124" si="47">+F123+F122</f>
        <v>0</v>
      </c>
    </row>
    <row r="125" spans="1:6">
      <c r="B125" s="149"/>
      <c r="C125" s="149"/>
      <c r="D125" s="149"/>
      <c r="E125" s="149"/>
      <c r="F125" s="149"/>
    </row>
    <row r="126" spans="1:6">
      <c r="A126" s="132" t="s">
        <v>291</v>
      </c>
      <c r="B126" s="126">
        <f>+B118-B124</f>
        <v>72000</v>
      </c>
      <c r="C126" s="126">
        <f>+C118-C124</f>
        <v>64800</v>
      </c>
      <c r="D126" s="126">
        <f>+D118-D124</f>
        <v>57600</v>
      </c>
      <c r="E126" s="126">
        <f>+E118-E124</f>
        <v>50400</v>
      </c>
      <c r="F126" s="126">
        <f>+F118-F124</f>
        <v>43200</v>
      </c>
    </row>
    <row r="127" spans="1:6" s="140" customFormat="1" ht="14" thickBot="1">
      <c r="B127" s="135"/>
    </row>
    <row r="129" spans="1:6">
      <c r="A129" s="69" t="s">
        <v>185</v>
      </c>
    </row>
    <row r="130" spans="1:6" s="9" customFormat="1">
      <c r="A130" s="93" t="s">
        <v>136</v>
      </c>
      <c r="B130" s="182">
        <f>+Online!B84/18</f>
        <v>5831.3053535840008</v>
      </c>
      <c r="C130" s="182">
        <f>+Online!C84/18</f>
        <v>11879.179191688001</v>
      </c>
      <c r="D130" s="182">
        <f>+Online!D84/18</f>
        <v>22037.735244372219</v>
      </c>
      <c r="E130" s="182">
        <f>+Online!E84/18</f>
        <v>27684.096182634192</v>
      </c>
      <c r="F130" s="182">
        <f>+Online!F84/18</f>
        <v>44880.898326207753</v>
      </c>
    </row>
    <row r="131" spans="1:6" s="9" customFormat="1">
      <c r="A131" s="143" t="s">
        <v>124</v>
      </c>
      <c r="B131" s="180">
        <v>0</v>
      </c>
      <c r="C131" s="180">
        <v>0</v>
      </c>
      <c r="D131" s="180">
        <v>0</v>
      </c>
      <c r="E131" s="180">
        <v>0</v>
      </c>
      <c r="F131" s="180">
        <v>0</v>
      </c>
    </row>
    <row r="132" spans="1:6">
      <c r="A132" s="93" t="s">
        <v>155</v>
      </c>
      <c r="B132" s="181">
        <v>18</v>
      </c>
      <c r="C132" s="181">
        <v>18</v>
      </c>
      <c r="D132" s="181">
        <v>18</v>
      </c>
      <c r="E132" s="181">
        <v>18</v>
      </c>
      <c r="F132" s="181">
        <v>18</v>
      </c>
    </row>
    <row r="133" spans="1:6" s="9" customFormat="1">
      <c r="A133" s="143" t="s">
        <v>157</v>
      </c>
      <c r="B133" s="181">
        <f>+B132*B131</f>
        <v>0</v>
      </c>
      <c r="C133" s="181">
        <f t="shared" ref="C133" si="48">+C132*C131</f>
        <v>0</v>
      </c>
      <c r="D133" s="181">
        <f t="shared" ref="D133" si="49">+D132*D131</f>
        <v>0</v>
      </c>
      <c r="E133" s="181">
        <f t="shared" ref="E133" si="50">+E132*E131</f>
        <v>0</v>
      </c>
      <c r="F133" s="181">
        <f t="shared" ref="F133" si="51">+F132*F131</f>
        <v>0</v>
      </c>
    </row>
    <row r="134" spans="1:6" s="127" customFormat="1">
      <c r="A134" s="145" t="s">
        <v>125</v>
      </c>
      <c r="B134" s="76">
        <f>+B133*B130</f>
        <v>0</v>
      </c>
      <c r="C134" s="76">
        <f t="shared" ref="C134" si="52">+C133*C130</f>
        <v>0</v>
      </c>
      <c r="D134" s="76">
        <f t="shared" ref="D134" si="53">+D133*D130</f>
        <v>0</v>
      </c>
      <c r="E134" s="76">
        <f t="shared" ref="E134" si="54">+E133*E130</f>
        <v>0</v>
      </c>
      <c r="F134" s="76">
        <f t="shared" ref="F134" si="55">+F133*F130</f>
        <v>0</v>
      </c>
    </row>
    <row r="135" spans="1:6" s="140" customFormat="1" ht="14" thickBot="1">
      <c r="B135" s="135"/>
    </row>
    <row r="137" spans="1:6">
      <c r="A137" s="69" t="s">
        <v>257</v>
      </c>
    </row>
    <row r="138" spans="1:6">
      <c r="A138" s="69"/>
    </row>
    <row r="139" spans="1:6">
      <c r="A139" s="69" t="s">
        <v>260</v>
      </c>
    </row>
    <row r="140" spans="1:6">
      <c r="A140" s="139" t="s">
        <v>139</v>
      </c>
      <c r="B140" s="178">
        <v>163296</v>
      </c>
      <c r="C140" s="152">
        <f>+B183</f>
        <v>151200</v>
      </c>
      <c r="D140" s="152">
        <f>+C183</f>
        <v>136080</v>
      </c>
      <c r="E140" s="152">
        <f>+D183</f>
        <v>122472</v>
      </c>
      <c r="F140" s="152">
        <f>+E183</f>
        <v>110224.8</v>
      </c>
    </row>
    <row r="141" spans="1:6">
      <c r="A141" s="139" t="s">
        <v>140</v>
      </c>
      <c r="B141" s="178">
        <v>4782.2400000000007</v>
      </c>
      <c r="C141" s="152">
        <f t="shared" ref="C141:C147" si="56">+B184</f>
        <v>26568</v>
      </c>
      <c r="D141" s="152">
        <f t="shared" ref="D141" si="57">+C184</f>
        <v>22715.64</v>
      </c>
      <c r="E141" s="152">
        <f t="shared" ref="E141" si="58">+D184</f>
        <v>19128.96</v>
      </c>
      <c r="F141" s="152">
        <f t="shared" ref="F141:F147" si="59">+E184</f>
        <v>15807.96</v>
      </c>
    </row>
    <row r="142" spans="1:6">
      <c r="A142" s="139" t="s">
        <v>141</v>
      </c>
      <c r="B142" s="178">
        <v>33383.470248000005</v>
      </c>
      <c r="C142" s="152">
        <f t="shared" si="56"/>
        <v>84195.50504934958</v>
      </c>
      <c r="D142" s="152">
        <f t="shared" ref="D142" si="60">+C185</f>
        <v>90098.603952682271</v>
      </c>
      <c r="E142" s="152">
        <f t="shared" ref="E142" si="61">+D185</f>
        <v>90842.995049090663</v>
      </c>
      <c r="F142" s="152">
        <f t="shared" si="59"/>
        <v>90735.136082330995</v>
      </c>
    </row>
    <row r="143" spans="1:6">
      <c r="A143" s="139" t="s">
        <v>144</v>
      </c>
      <c r="B143" s="178">
        <v>21000</v>
      </c>
      <c r="C143" s="152">
        <f t="shared" si="56"/>
        <v>20000</v>
      </c>
      <c r="D143" s="152">
        <f t="shared" ref="D143" si="62">+C186</f>
        <v>19000</v>
      </c>
      <c r="E143" s="152">
        <f t="shared" ref="E143" si="63">+D186</f>
        <v>18000</v>
      </c>
      <c r="F143" s="152">
        <f t="shared" si="59"/>
        <v>17000</v>
      </c>
    </row>
    <row r="144" spans="1:6">
      <c r="A144" s="139" t="s">
        <v>145</v>
      </c>
      <c r="B144" s="178">
        <v>5500</v>
      </c>
      <c r="C144" s="152">
        <f t="shared" si="56"/>
        <v>5000</v>
      </c>
      <c r="D144" s="152">
        <f t="shared" ref="D144" si="64">+C187</f>
        <v>4500</v>
      </c>
      <c r="E144" s="152">
        <f t="shared" ref="E144" si="65">+D187</f>
        <v>4000</v>
      </c>
      <c r="F144" s="152">
        <f t="shared" si="59"/>
        <v>3500</v>
      </c>
    </row>
    <row r="145" spans="1:6">
      <c r="A145" s="139" t="s">
        <v>160</v>
      </c>
      <c r="B145" s="178">
        <v>4200</v>
      </c>
      <c r="C145" s="152">
        <f t="shared" si="56"/>
        <v>5831.3053535840008</v>
      </c>
      <c r="D145" s="152">
        <f t="shared" ref="D145" si="66">+C188</f>
        <v>11879.179191688001</v>
      </c>
      <c r="E145" s="152">
        <f t="shared" ref="E145" si="67">+D188</f>
        <v>22037.735244372219</v>
      </c>
      <c r="F145" s="152">
        <f t="shared" si="59"/>
        <v>27684.096182634192</v>
      </c>
    </row>
    <row r="146" spans="1:6">
      <c r="A146" s="139" t="s">
        <v>148</v>
      </c>
      <c r="B146" s="178">
        <f>(210011*1.2)*43%</f>
        <v>108365.67599999999</v>
      </c>
      <c r="C146" s="152">
        <f t="shared" si="56"/>
        <v>88434.535406639989</v>
      </c>
      <c r="D146" s="152">
        <f t="shared" ref="D146" si="68">+C189</f>
        <v>115151.76847326143</v>
      </c>
      <c r="E146" s="152">
        <f t="shared" ref="E146" si="69">+D189</f>
        <v>112132.57195207922</v>
      </c>
      <c r="F146" s="152">
        <f t="shared" si="59"/>
        <v>109427.12682618904</v>
      </c>
    </row>
    <row r="147" spans="1:6">
      <c r="A147" s="139" t="s">
        <v>149</v>
      </c>
      <c r="B147" s="178">
        <f>+B146*2.5</f>
        <v>270914.19</v>
      </c>
      <c r="C147" s="152">
        <f t="shared" si="56"/>
        <v>273081.50351999997</v>
      </c>
      <c r="D147" s="152">
        <f t="shared" ref="D147" si="70">+C190</f>
        <v>260291.54802718075</v>
      </c>
      <c r="E147" s="152">
        <f t="shared" ref="E147" si="71">+D190</f>
        <v>270319.18788031832</v>
      </c>
      <c r="F147" s="152">
        <f t="shared" si="59"/>
        <v>275365.26707932627</v>
      </c>
    </row>
    <row r="148" spans="1:6" s="69" customFormat="1">
      <c r="A148" s="69" t="s">
        <v>142</v>
      </c>
      <c r="B148" s="153">
        <f>SUM(B140:B147)</f>
        <v>611441.57624799991</v>
      </c>
      <c r="C148" s="153">
        <f>SUM(C140:C147)</f>
        <v>654310.84932957357</v>
      </c>
      <c r="D148" s="153">
        <f>SUM(D140:D147)</f>
        <v>659716.73964481254</v>
      </c>
      <c r="E148" s="153">
        <f>SUM(E140:E147)</f>
        <v>658933.45012586052</v>
      </c>
      <c r="F148" s="153">
        <f>SUM(F140:F147)</f>
        <v>649744.38617048052</v>
      </c>
    </row>
    <row r="149" spans="1:6" s="69" customFormat="1">
      <c r="B149" s="153"/>
      <c r="C149" s="153"/>
      <c r="D149" s="153"/>
      <c r="E149" s="153"/>
      <c r="F149" s="153"/>
    </row>
    <row r="150" spans="1:6" s="69" customFormat="1">
      <c r="A150" s="69" t="s">
        <v>252</v>
      </c>
      <c r="B150" s="153"/>
      <c r="C150" s="153"/>
      <c r="D150" s="153"/>
      <c r="E150" s="153"/>
      <c r="F150" s="153"/>
    </row>
    <row r="151" spans="1:6" s="61" customFormat="1">
      <c r="A151" s="123" t="s">
        <v>249</v>
      </c>
      <c r="B151" s="179">
        <v>0.43</v>
      </c>
      <c r="C151" s="179">
        <v>0.43</v>
      </c>
      <c r="D151" s="179">
        <v>0.43</v>
      </c>
      <c r="E151" s="179">
        <v>0.43</v>
      </c>
      <c r="F151" s="179">
        <v>0.43</v>
      </c>
    </row>
    <row r="152" spans="1:6" s="69" customFormat="1">
      <c r="A152" s="69" t="s">
        <v>253</v>
      </c>
      <c r="B152" s="153">
        <f>+((B140+B141+B142+B145)*B151)</f>
        <v>88434.535406639989</v>
      </c>
      <c r="C152" s="153">
        <f t="shared" ref="C152:F152" si="72">+((C140+C141+C142+C145)*C151)</f>
        <v>115151.76847326143</v>
      </c>
      <c r="D152" s="153">
        <f t="shared" si="72"/>
        <v>112132.57195207922</v>
      </c>
      <c r="E152" s="153">
        <f t="shared" si="72"/>
        <v>109427.12682618904</v>
      </c>
      <c r="F152" s="153">
        <f t="shared" si="72"/>
        <v>105114.35667393504</v>
      </c>
    </row>
    <row r="153" spans="1:6">
      <c r="A153" s="93" t="s">
        <v>155</v>
      </c>
      <c r="B153" s="181">
        <v>18</v>
      </c>
      <c r="C153" s="181">
        <v>18</v>
      </c>
      <c r="D153" s="181">
        <v>18</v>
      </c>
      <c r="E153" s="181">
        <v>18</v>
      </c>
      <c r="F153" s="181">
        <v>18</v>
      </c>
    </row>
    <row r="154" spans="1:6" s="69" customFormat="1">
      <c r="A154" s="69" t="s">
        <v>254</v>
      </c>
      <c r="B154" s="153">
        <f>+B152*B153</f>
        <v>1591821.6373195199</v>
      </c>
      <c r="C154" s="153">
        <f t="shared" ref="C154:F154" si="73">+C152*C153</f>
        <v>2072731.8325187056</v>
      </c>
      <c r="D154" s="153">
        <f t="shared" si="73"/>
        <v>2018386.2951374259</v>
      </c>
      <c r="E154" s="153">
        <f t="shared" si="73"/>
        <v>1969688.2828714026</v>
      </c>
      <c r="F154" s="153">
        <f t="shared" si="73"/>
        <v>1892058.4201308307</v>
      </c>
    </row>
    <row r="155" spans="1:6" s="69" customFormat="1">
      <c r="B155" s="153"/>
      <c r="C155" s="153"/>
      <c r="D155" s="153"/>
      <c r="E155" s="153"/>
      <c r="F155" s="153"/>
    </row>
    <row r="156" spans="1:6" s="69" customFormat="1">
      <c r="A156" s="69" t="s">
        <v>261</v>
      </c>
      <c r="B156" s="153"/>
      <c r="C156" s="153"/>
      <c r="D156" s="153"/>
      <c r="E156" s="153"/>
      <c r="F156" s="153"/>
    </row>
    <row r="157" spans="1:6" s="61" customFormat="1">
      <c r="A157" s="123" t="s">
        <v>250</v>
      </c>
      <c r="B157" s="179">
        <v>0</v>
      </c>
      <c r="C157" s="179">
        <v>0</v>
      </c>
      <c r="D157" s="179">
        <v>0</v>
      </c>
      <c r="E157" s="179">
        <v>0</v>
      </c>
      <c r="F157" s="179">
        <v>0</v>
      </c>
    </row>
    <row r="158" spans="1:6" s="69" customFormat="1">
      <c r="A158" s="69" t="s">
        <v>262</v>
      </c>
      <c r="B158" s="153">
        <f>+((B143+B144)*B157)</f>
        <v>0</v>
      </c>
      <c r="C158" s="153">
        <f t="shared" ref="C158:F158" si="74">+((C143+C144)*C157)</f>
        <v>0</v>
      </c>
      <c r="D158" s="153">
        <f t="shared" si="74"/>
        <v>0</v>
      </c>
      <c r="E158" s="153">
        <f t="shared" si="74"/>
        <v>0</v>
      </c>
      <c r="F158" s="153">
        <f t="shared" si="74"/>
        <v>0</v>
      </c>
    </row>
    <row r="159" spans="1:6">
      <c r="A159" s="93" t="s">
        <v>155</v>
      </c>
      <c r="B159" s="181">
        <v>18</v>
      </c>
      <c r="C159" s="181">
        <v>18</v>
      </c>
      <c r="D159" s="181">
        <v>18</v>
      </c>
      <c r="E159" s="181">
        <v>18</v>
      </c>
      <c r="F159" s="181">
        <v>18</v>
      </c>
    </row>
    <row r="160" spans="1:6" s="69" customFormat="1">
      <c r="A160" s="69" t="s">
        <v>263</v>
      </c>
      <c r="B160" s="153">
        <f>+B158*B159</f>
        <v>0</v>
      </c>
      <c r="C160" s="153">
        <f t="shared" ref="C160:F160" si="75">+C158*C159</f>
        <v>0</v>
      </c>
      <c r="D160" s="153">
        <f t="shared" si="75"/>
        <v>0</v>
      </c>
      <c r="E160" s="153">
        <f t="shared" si="75"/>
        <v>0</v>
      </c>
      <c r="F160" s="153">
        <f t="shared" si="75"/>
        <v>0</v>
      </c>
    </row>
    <row r="161" spans="1:6" s="69" customFormat="1">
      <c r="B161" s="153"/>
      <c r="C161" s="153"/>
      <c r="D161" s="153"/>
      <c r="E161" s="153"/>
      <c r="F161" s="153"/>
    </row>
    <row r="162" spans="1:6" s="69" customFormat="1">
      <c r="A162" s="69" t="s">
        <v>146</v>
      </c>
      <c r="B162" s="153"/>
      <c r="C162" s="153"/>
      <c r="D162" s="153"/>
      <c r="E162" s="153"/>
      <c r="F162" s="153"/>
    </row>
    <row r="163" spans="1:6" s="61" customFormat="1">
      <c r="A163" s="123" t="s">
        <v>251</v>
      </c>
      <c r="B163" s="179">
        <v>0.72</v>
      </c>
      <c r="C163" s="179">
        <v>0.72</v>
      </c>
      <c r="D163" s="179">
        <v>0.72</v>
      </c>
      <c r="E163" s="179">
        <v>0.72</v>
      </c>
      <c r="F163" s="179">
        <v>0.72</v>
      </c>
    </row>
    <row r="164" spans="1:6" s="69" customFormat="1">
      <c r="A164" s="69" t="s">
        <v>264</v>
      </c>
      <c r="B164" s="153">
        <f>+((B146+B147)*B163)</f>
        <v>273081.50351999997</v>
      </c>
      <c r="C164" s="153">
        <f t="shared" ref="C164:F164" si="76">+((C146+C147)*C163)</f>
        <v>260291.54802718075</v>
      </c>
      <c r="D164" s="153">
        <f t="shared" si="76"/>
        <v>270319.18788031832</v>
      </c>
      <c r="E164" s="153">
        <f t="shared" si="76"/>
        <v>275365.26707932627</v>
      </c>
      <c r="F164" s="153">
        <f t="shared" si="76"/>
        <v>277050.523611971</v>
      </c>
    </row>
    <row r="165" spans="1:6">
      <c r="A165" s="93" t="s">
        <v>155</v>
      </c>
      <c r="B165" s="181">
        <v>18</v>
      </c>
      <c r="C165" s="181">
        <v>18</v>
      </c>
      <c r="D165" s="181">
        <v>18</v>
      </c>
      <c r="E165" s="181">
        <v>18</v>
      </c>
      <c r="F165" s="181">
        <v>18</v>
      </c>
    </row>
    <row r="166" spans="1:6" s="69" customFormat="1">
      <c r="A166" s="69" t="s">
        <v>265</v>
      </c>
      <c r="B166" s="153">
        <f>+B164*B165</f>
        <v>4915467.0633599991</v>
      </c>
      <c r="C166" s="153">
        <f t="shared" ref="C166:F166" si="77">+C164*C165</f>
        <v>4685247.8644892536</v>
      </c>
      <c r="D166" s="153">
        <f t="shared" si="77"/>
        <v>4865745.3818457294</v>
      </c>
      <c r="E166" s="153">
        <f t="shared" si="77"/>
        <v>4956574.8074278729</v>
      </c>
      <c r="F166" s="153">
        <f t="shared" si="77"/>
        <v>4986909.4250154784</v>
      </c>
    </row>
    <row r="167" spans="1:6" s="69" customFormat="1">
      <c r="B167" s="153"/>
      <c r="C167" s="153"/>
      <c r="D167" s="153"/>
      <c r="E167" s="153"/>
      <c r="F167" s="153"/>
    </row>
    <row r="168" spans="1:6" s="61" customFormat="1">
      <c r="A168" s="68" t="s">
        <v>266</v>
      </c>
      <c r="B168" s="121">
        <f>+B154+B160+B166</f>
        <v>6507288.7006795192</v>
      </c>
      <c r="C168" s="121">
        <f>+C154+C160+C166</f>
        <v>6757979.6970079597</v>
      </c>
      <c r="D168" s="121">
        <f>+D154+D160+D166</f>
        <v>6884131.6769831553</v>
      </c>
      <c r="E168" s="121">
        <f>+E154+E160+E166</f>
        <v>6926263.0902992757</v>
      </c>
      <c r="F168" s="121">
        <f>+F154+F160+F166</f>
        <v>6878967.8451463096</v>
      </c>
    </row>
    <row r="169" spans="1:6" s="61" customFormat="1">
      <c r="A169" s="68"/>
      <c r="B169" s="121"/>
      <c r="C169" s="121"/>
      <c r="D169" s="121"/>
      <c r="E169" s="121"/>
      <c r="F169" s="121"/>
    </row>
    <row r="170" spans="1:6" s="61" customFormat="1">
      <c r="A170" s="106" t="s">
        <v>183</v>
      </c>
      <c r="B170" s="121"/>
      <c r="C170" s="121"/>
      <c r="D170" s="121"/>
      <c r="E170" s="121"/>
      <c r="F170" s="121"/>
    </row>
    <row r="171" spans="1:6">
      <c r="A171" s="106" t="s">
        <v>115</v>
      </c>
      <c r="B171" s="149"/>
      <c r="C171" s="150"/>
      <c r="D171" s="150"/>
      <c r="E171" s="150"/>
      <c r="F171" s="150"/>
    </row>
    <row r="172" spans="1:6">
      <c r="A172" s="93" t="s">
        <v>247</v>
      </c>
      <c r="B172" s="177">
        <f>+B148*6*0.5</f>
        <v>1834324.7287439997</v>
      </c>
      <c r="C172" s="177">
        <f t="shared" ref="C172:F172" si="78">+C148*6*0.5</f>
        <v>1962932.5479887207</v>
      </c>
      <c r="D172" s="177">
        <f t="shared" si="78"/>
        <v>1979150.2189344377</v>
      </c>
      <c r="E172" s="177">
        <f t="shared" si="78"/>
        <v>1976800.3503775815</v>
      </c>
      <c r="F172" s="177">
        <f t="shared" si="78"/>
        <v>1949233.1585114417</v>
      </c>
    </row>
    <row r="173" spans="1:6">
      <c r="A173" s="93" t="s">
        <v>117</v>
      </c>
      <c r="B173" s="151">
        <f>(+B168*40%)*2.7%</f>
        <v>70278.717967338816</v>
      </c>
      <c r="C173" s="151">
        <f t="shared" ref="C173:F173" si="79">(+C168*40%)*2.7%</f>
        <v>72986.180727685976</v>
      </c>
      <c r="D173" s="151">
        <f t="shared" si="79"/>
        <v>74348.622111418095</v>
      </c>
      <c r="E173" s="151">
        <f t="shared" si="79"/>
        <v>74803.641375232182</v>
      </c>
      <c r="F173" s="151">
        <f t="shared" si="79"/>
        <v>74292.852727580161</v>
      </c>
    </row>
    <row r="174" spans="1:6">
      <c r="A174" s="132" t="s">
        <v>116</v>
      </c>
      <c r="B174" s="126">
        <f>SUM(B172:B173)</f>
        <v>1904603.4467113386</v>
      </c>
      <c r="C174" s="126">
        <f t="shared" ref="C174:F174" si="80">SUM(C172:C173)</f>
        <v>2035918.7287164067</v>
      </c>
      <c r="D174" s="126">
        <f t="shared" si="80"/>
        <v>2053498.8410458558</v>
      </c>
      <c r="E174" s="126">
        <f t="shared" si="80"/>
        <v>2051603.9917528138</v>
      </c>
      <c r="F174" s="126">
        <f t="shared" si="80"/>
        <v>2023526.0112390218</v>
      </c>
    </row>
    <row r="175" spans="1:6">
      <c r="B175" s="149"/>
      <c r="C175" s="149"/>
      <c r="D175" s="149"/>
      <c r="E175" s="149"/>
      <c r="F175" s="149"/>
    </row>
    <row r="176" spans="1:6">
      <c r="A176" s="132" t="s">
        <v>267</v>
      </c>
      <c r="B176" s="126">
        <f>+B168-B174</f>
        <v>4602685.2539681811</v>
      </c>
      <c r="C176" s="126">
        <f>+C168-C174</f>
        <v>4722060.9682915527</v>
      </c>
      <c r="D176" s="126">
        <f>+D168-D174</f>
        <v>4830632.8359372998</v>
      </c>
      <c r="E176" s="126">
        <f>+E168-E174</f>
        <v>4874659.0985464621</v>
      </c>
      <c r="F176" s="126">
        <f>+F168-F174</f>
        <v>4855441.8339072876</v>
      </c>
    </row>
    <row r="177" spans="1:6" s="140" customFormat="1" ht="14" thickBot="1">
      <c r="B177" s="135"/>
    </row>
    <row r="179" spans="1:6">
      <c r="A179" s="69" t="s">
        <v>147</v>
      </c>
    </row>
    <row r="180" spans="1:6">
      <c r="A180" s="139" t="s">
        <v>150</v>
      </c>
      <c r="B180" s="183">
        <f>SUM(B140:B147)</f>
        <v>611441.57624799991</v>
      </c>
      <c r="C180" s="154">
        <f>+B194</f>
        <v>654310.84932957357</v>
      </c>
      <c r="D180" s="154">
        <f>+C194</f>
        <v>659716.73964481242</v>
      </c>
      <c r="E180" s="154">
        <f>+D194</f>
        <v>658933.45012586052</v>
      </c>
      <c r="F180" s="154">
        <f>+E194</f>
        <v>649744.3861704804</v>
      </c>
    </row>
    <row r="181" spans="1:6">
      <c r="A181" s="69"/>
    </row>
    <row r="182" spans="1:6">
      <c r="A182" s="69" t="s">
        <v>151</v>
      </c>
    </row>
    <row r="183" spans="1:6">
      <c r="A183" s="139" t="s">
        <v>139</v>
      </c>
      <c r="B183" s="6">
        <f>+B30</f>
        <v>151200</v>
      </c>
      <c r="C183" s="6">
        <f>+C30</f>
        <v>136080</v>
      </c>
      <c r="D183" s="6">
        <f>+D30</f>
        <v>122472</v>
      </c>
      <c r="E183" s="6">
        <f>+E30</f>
        <v>110224.8</v>
      </c>
      <c r="F183" s="6">
        <f>+F30</f>
        <v>99202.319999999992</v>
      </c>
    </row>
    <row r="184" spans="1:6">
      <c r="A184" s="139" t="s">
        <v>140</v>
      </c>
      <c r="B184" s="6">
        <f>+B64</f>
        <v>26568</v>
      </c>
      <c r="C184" s="6">
        <f>+C64</f>
        <v>22715.64</v>
      </c>
      <c r="D184" s="6">
        <f>+D64</f>
        <v>19128.96</v>
      </c>
      <c r="E184" s="6">
        <f>+E64</f>
        <v>15807.96</v>
      </c>
      <c r="F184" s="6">
        <f>+F64</f>
        <v>12752.64</v>
      </c>
    </row>
    <row r="185" spans="1:6" s="123" customFormat="1">
      <c r="A185" s="123" t="s">
        <v>141</v>
      </c>
      <c r="B185" s="46">
        <f>+B83</f>
        <v>84195.50504934958</v>
      </c>
      <c r="C185" s="46">
        <f>+C83</f>
        <v>90098.603952682271</v>
      </c>
      <c r="D185" s="46">
        <f>+D83</f>
        <v>90842.995049090663</v>
      </c>
      <c r="E185" s="46">
        <f>+E83</f>
        <v>90735.136082330995</v>
      </c>
      <c r="F185" s="46">
        <f>+F83</f>
        <v>89469.801975675146</v>
      </c>
    </row>
    <row r="186" spans="1:6">
      <c r="A186" s="139" t="s">
        <v>144</v>
      </c>
      <c r="B186" s="6">
        <f>+B98</f>
        <v>20000</v>
      </c>
      <c r="C186" s="6">
        <f>+C98</f>
        <v>19000</v>
      </c>
      <c r="D186" s="6">
        <f>+D98</f>
        <v>18000</v>
      </c>
      <c r="E186" s="6">
        <f>+E98</f>
        <v>17000</v>
      </c>
      <c r="F186" s="6">
        <f>+F98</f>
        <v>16000</v>
      </c>
    </row>
    <row r="187" spans="1:6">
      <c r="A187" s="139" t="s">
        <v>145</v>
      </c>
      <c r="B187" s="6">
        <f>+B114</f>
        <v>5000</v>
      </c>
      <c r="C187" s="6">
        <f>+C114</f>
        <v>4500</v>
      </c>
      <c r="D187" s="6">
        <f>+D114</f>
        <v>4000</v>
      </c>
      <c r="E187" s="6">
        <f>+E114</f>
        <v>3500</v>
      </c>
      <c r="F187" s="6">
        <f>+F114</f>
        <v>3000</v>
      </c>
    </row>
    <row r="188" spans="1:6">
      <c r="A188" s="139" t="s">
        <v>160</v>
      </c>
      <c r="B188" s="6">
        <f>+B130</f>
        <v>5831.3053535840008</v>
      </c>
      <c r="C188" s="6">
        <f>+C130</f>
        <v>11879.179191688001</v>
      </c>
      <c r="D188" s="6">
        <f>+D130</f>
        <v>22037.735244372219</v>
      </c>
      <c r="E188" s="6">
        <f>+E130</f>
        <v>27684.096182634192</v>
      </c>
      <c r="F188" s="6">
        <f>+F130</f>
        <v>44880.898326207753</v>
      </c>
    </row>
    <row r="189" spans="1:6">
      <c r="A189" s="139" t="s">
        <v>148</v>
      </c>
      <c r="B189" s="152">
        <f>((+B140+B141+B142+B145)*B151)+((B143+B144)*B157)</f>
        <v>88434.535406639989</v>
      </c>
      <c r="C189" s="152">
        <f>((+C140+C141+C142+C145)*C151)+((C143+C144)*C157)</f>
        <v>115151.76847326143</v>
      </c>
      <c r="D189" s="152">
        <f>((+D140+D141+D142+D145)*D151)+((D143+D144)*D157)</f>
        <v>112132.57195207922</v>
      </c>
      <c r="E189" s="152">
        <f>((+E140+E141+E142+E145)*E151)+((E143+E144)*E157)</f>
        <v>109427.12682618904</v>
      </c>
      <c r="F189" s="152">
        <f>((+F140+F141+F142+F145)*F151)+((F143+F144)*F157)</f>
        <v>105114.35667393504</v>
      </c>
    </row>
    <row r="190" spans="1:6">
      <c r="A190" s="139" t="s">
        <v>149</v>
      </c>
      <c r="B190" s="6">
        <f>(+B146+B147)*B163</f>
        <v>273081.50351999997</v>
      </c>
      <c r="C190" s="6">
        <f>(+C146+C147)*C163</f>
        <v>260291.54802718075</v>
      </c>
      <c r="D190" s="6">
        <f>(+D146+D147)*D163</f>
        <v>270319.18788031832</v>
      </c>
      <c r="E190" s="6">
        <f>(+E146+E147)*E163</f>
        <v>275365.26707932627</v>
      </c>
      <c r="F190" s="6">
        <f>(+F146+F147)*F163</f>
        <v>277050.523611971</v>
      </c>
    </row>
    <row r="191" spans="1:6" s="69" customFormat="1">
      <c r="A191" s="69" t="s">
        <v>154</v>
      </c>
      <c r="B191" s="87">
        <f>SUM(B183:B190)</f>
        <v>654310.84932957357</v>
      </c>
      <c r="C191" s="87">
        <f t="shared" ref="C191:F191" si="81">SUM(C183:C190)</f>
        <v>659716.73964481254</v>
      </c>
      <c r="D191" s="87">
        <f t="shared" si="81"/>
        <v>658933.45012586052</v>
      </c>
      <c r="E191" s="87">
        <f t="shared" si="81"/>
        <v>649744.38617048052</v>
      </c>
      <c r="F191" s="87">
        <f t="shared" si="81"/>
        <v>647470.54058778891</v>
      </c>
    </row>
    <row r="192" spans="1:6">
      <c r="C192" s="6"/>
      <c r="D192" s="6"/>
      <c r="E192" s="6"/>
      <c r="F192" s="6"/>
    </row>
    <row r="193" spans="1:6" s="68" customFormat="1">
      <c r="A193" s="68" t="s">
        <v>152</v>
      </c>
      <c r="B193" s="183">
        <f>+B180</f>
        <v>611441.57624799991</v>
      </c>
      <c r="C193" s="183">
        <f>+C180</f>
        <v>654310.84932957357</v>
      </c>
      <c r="D193" s="183">
        <f>+D180</f>
        <v>659716.73964481242</v>
      </c>
      <c r="E193" s="183">
        <f>+E180</f>
        <v>658933.45012586052</v>
      </c>
      <c r="F193" s="183">
        <f>+F180</f>
        <v>649744.3861704804</v>
      </c>
    </row>
    <row r="194" spans="1:6" s="68" customFormat="1">
      <c r="A194" s="68" t="s">
        <v>153</v>
      </c>
      <c r="B194" s="110">
        <f>+B180+B191-B193</f>
        <v>654310.84932957357</v>
      </c>
      <c r="C194" s="110">
        <f>+C180+C191-C193</f>
        <v>659716.73964481242</v>
      </c>
      <c r="D194" s="110">
        <f>+D180+D191-D193</f>
        <v>658933.45012586052</v>
      </c>
      <c r="E194" s="110">
        <f>+E180+E191-E193</f>
        <v>649744.3861704804</v>
      </c>
      <c r="F194" s="110">
        <f>+F180+F191-F193</f>
        <v>647470.54058778891</v>
      </c>
    </row>
    <row r="195" spans="1:6" s="69" customFormat="1">
      <c r="B195" s="87"/>
      <c r="C195" s="87"/>
      <c r="D195" s="87"/>
      <c r="E195" s="87"/>
      <c r="F195" s="87"/>
    </row>
    <row r="196" spans="1:6">
      <c r="A196" s="139" t="s">
        <v>143</v>
      </c>
      <c r="B196" s="6">
        <f>+B52</f>
        <v>300000</v>
      </c>
      <c r="C196" s="6">
        <f>+C52</f>
        <v>270000</v>
      </c>
      <c r="D196" s="6">
        <f>+D52</f>
        <v>240000</v>
      </c>
      <c r="E196" s="6">
        <f>+E52</f>
        <v>210000</v>
      </c>
      <c r="F196" s="6">
        <f>+F52</f>
        <v>180000</v>
      </c>
    </row>
    <row r="197" spans="1:6" s="123" customFormat="1">
      <c r="A197" s="123" t="s">
        <v>248</v>
      </c>
      <c r="B197" s="46">
        <f>+B29-B30+B62-B64+B81-B83</f>
        <v>229490.03030282643</v>
      </c>
      <c r="C197" s="46">
        <f t="shared" ref="C197:F197" si="82">+C29-C30+C62-C64+C81-C83</f>
        <v>208806.1136387086</v>
      </c>
      <c r="D197" s="46">
        <f t="shared" si="82"/>
        <v>189358.156773369</v>
      </c>
      <c r="E197" s="46">
        <f t="shared" si="82"/>
        <v>171697.3228380584</v>
      </c>
      <c r="F197" s="46">
        <f t="shared" si="82"/>
        <v>155581.82858394267</v>
      </c>
    </row>
    <row r="198" spans="1:6">
      <c r="C198" s="6"/>
      <c r="D198" s="6"/>
      <c r="E198" s="6"/>
      <c r="F198" s="6"/>
    </row>
    <row r="199" spans="1:6" s="69" customFormat="1">
      <c r="A199" s="69" t="s">
        <v>186</v>
      </c>
      <c r="B199" s="87">
        <f>+B194+B196+B197</f>
        <v>1183800.8796323999</v>
      </c>
      <c r="C199" s="87">
        <f t="shared" ref="C199:F199" si="83">+C194+C196+C197</f>
        <v>1138522.853283521</v>
      </c>
      <c r="D199" s="87">
        <f t="shared" si="83"/>
        <v>1088291.6068992296</v>
      </c>
      <c r="E199" s="87">
        <f t="shared" si="83"/>
        <v>1031441.7090085389</v>
      </c>
      <c r="F199" s="87">
        <f t="shared" si="83"/>
        <v>983052.36917173164</v>
      </c>
    </row>
    <row r="200" spans="1:6" s="140" customFormat="1" ht="14" thickBot="1">
      <c r="B200" s="135"/>
    </row>
    <row r="202" spans="1:6">
      <c r="A202" s="69" t="s">
        <v>164</v>
      </c>
      <c r="B202" s="52"/>
    </row>
    <row r="203" spans="1:6">
      <c r="A203" s="139" t="s">
        <v>255</v>
      </c>
      <c r="B203" s="52">
        <f>AVERAGE(B180,B191)</f>
        <v>632876.21278878674</v>
      </c>
      <c r="C203" s="52">
        <f>AVERAGE(C180,C191)</f>
        <v>657013.79448719299</v>
      </c>
      <c r="D203" s="52">
        <f>AVERAGE(D180,D191)</f>
        <v>659325.09488533647</v>
      </c>
      <c r="E203" s="52">
        <f>AVERAGE(E180,E191)</f>
        <v>654338.91814817046</v>
      </c>
      <c r="F203" s="52">
        <f>AVERAGE(F180,F191)</f>
        <v>648607.46337913466</v>
      </c>
    </row>
    <row r="204" spans="1:6">
      <c r="A204" s="139" t="s">
        <v>165</v>
      </c>
      <c r="B204" s="52">
        <f>+B55/6</f>
        <v>120000</v>
      </c>
      <c r="C204" s="52">
        <f>+C55/6</f>
        <v>102600</v>
      </c>
      <c r="D204" s="52">
        <f>+D55/6</f>
        <v>86400</v>
      </c>
      <c r="E204" s="52">
        <f>+E55/6</f>
        <v>71400</v>
      </c>
      <c r="F204" s="52">
        <f>+F55/6</f>
        <v>57600</v>
      </c>
    </row>
    <row r="205" spans="1:6">
      <c r="A205" s="139" t="s">
        <v>166</v>
      </c>
      <c r="B205" s="52">
        <f>+'Digital Retail'!B8/6</f>
        <v>0</v>
      </c>
      <c r="C205" s="52">
        <f>+'Digital Retail'!C8/6</f>
        <v>9000</v>
      </c>
      <c r="D205" s="52">
        <f>+'Digital Retail'!D8/6</f>
        <v>27000</v>
      </c>
      <c r="E205" s="52">
        <f>+'Digital Retail'!E8/6</f>
        <v>54000</v>
      </c>
      <c r="F205" s="52">
        <f>+'Digital Retail'!F8/6</f>
        <v>81000</v>
      </c>
    </row>
    <row r="206" spans="1:6" s="69" customFormat="1">
      <c r="A206" s="69" t="s">
        <v>167</v>
      </c>
      <c r="B206" s="87">
        <f>SUM(B203:B205)</f>
        <v>752876.21278878674</v>
      </c>
      <c r="C206" s="87">
        <f t="shared" ref="C206:F206" si="84">SUM(C203:C205)</f>
        <v>768613.79448719299</v>
      </c>
      <c r="D206" s="87">
        <f t="shared" si="84"/>
        <v>772725.09488533647</v>
      </c>
      <c r="E206" s="87">
        <f t="shared" si="84"/>
        <v>779738.91814817046</v>
      </c>
      <c r="F206" s="87">
        <f t="shared" si="84"/>
        <v>787207.46337913466</v>
      </c>
    </row>
    <row r="207" spans="1:6" s="140" customFormat="1" ht="14" thickBot="1">
      <c r="B207" s="135"/>
    </row>
    <row r="208" spans="1:6" s="184" customFormat="1">
      <c r="B208" s="185"/>
    </row>
    <row r="209" spans="1:6">
      <c r="A209" s="69" t="s">
        <v>187</v>
      </c>
    </row>
    <row r="210" spans="1:6">
      <c r="A210" s="139" t="s">
        <v>188</v>
      </c>
      <c r="B210" s="186">
        <f>(B199*6)*0.5</f>
        <v>3551402.6388971996</v>
      </c>
      <c r="C210" s="186">
        <f>(C199*6)*0.5</f>
        <v>3415568.5598505633</v>
      </c>
      <c r="D210" s="186">
        <f>(D199*6)*0.5</f>
        <v>3264874.8206976885</v>
      </c>
      <c r="E210" s="186">
        <f>(E199*6)*0.5</f>
        <v>3094325.1270256164</v>
      </c>
      <c r="F210" s="186">
        <f>(F199*6)*0.5</f>
        <v>2949157.1075151949</v>
      </c>
    </row>
    <row r="211" spans="1:6">
      <c r="A211" s="139" t="s">
        <v>189</v>
      </c>
      <c r="B211" s="186">
        <f>((B199-B196)*6)*0.4</f>
        <v>2121122.1111177597</v>
      </c>
      <c r="C211" s="186">
        <f>((C199-C196)*6)*0.4</f>
        <v>2084454.8478804508</v>
      </c>
      <c r="D211" s="186">
        <f>((D199-D196)*6)*0.4</f>
        <v>2035899.8565581508</v>
      </c>
      <c r="E211" s="186">
        <f>((E199-E196)*6)*0.4</f>
        <v>1971460.1016204932</v>
      </c>
      <c r="F211" s="186">
        <f>((F199-F196)*6)*0.4</f>
        <v>1927325.6860121561</v>
      </c>
    </row>
    <row r="212" spans="1:6">
      <c r="A212" s="139" t="s">
        <v>190</v>
      </c>
      <c r="B212" s="186">
        <f>(B199-B196)*0.9</f>
        <v>795420.79166915989</v>
      </c>
      <c r="C212" s="186">
        <f t="shared" ref="C212:F212" si="85">(C199-C196)*0.9</f>
        <v>781670.5679551689</v>
      </c>
      <c r="D212" s="186">
        <f t="shared" si="85"/>
        <v>763462.4462093066</v>
      </c>
      <c r="E212" s="186">
        <f t="shared" si="85"/>
        <v>739297.53810768505</v>
      </c>
      <c r="F212" s="186">
        <f t="shared" si="85"/>
        <v>722747.1322545585</v>
      </c>
    </row>
    <row r="213" spans="1:6" s="69" customFormat="1">
      <c r="A213" s="69" t="s">
        <v>191</v>
      </c>
      <c r="B213" s="126">
        <f>SUM(B210:B212)</f>
        <v>6467945.541684119</v>
      </c>
      <c r="C213" s="126">
        <f t="shared" ref="C213:F213" si="86">SUM(C210:C212)</f>
        <v>6281693.9756861832</v>
      </c>
      <c r="D213" s="126">
        <f t="shared" si="86"/>
        <v>6064237.1234651459</v>
      </c>
      <c r="E213" s="126">
        <f t="shared" si="86"/>
        <v>5805082.7667537946</v>
      </c>
      <c r="F213" s="126">
        <f t="shared" si="86"/>
        <v>5599229.9257819094</v>
      </c>
    </row>
    <row r="214" spans="1:6" s="140" customFormat="1" ht="14" thickBot="1">
      <c r="B214" s="135"/>
    </row>
    <row r="216" spans="1:6">
      <c r="A216" s="69" t="s">
        <v>162</v>
      </c>
      <c r="B216" s="52"/>
    </row>
    <row r="217" spans="1:6">
      <c r="A217" s="139" t="s">
        <v>169</v>
      </c>
      <c r="B217" s="192">
        <v>20</v>
      </c>
      <c r="C217" s="192">
        <v>20</v>
      </c>
      <c r="D217" s="192">
        <v>20</v>
      </c>
      <c r="E217" s="192">
        <v>20</v>
      </c>
      <c r="F217" s="192">
        <v>20</v>
      </c>
    </row>
    <row r="218" spans="1:6">
      <c r="A218" s="139" t="s">
        <v>168</v>
      </c>
      <c r="B218" s="75">
        <f>B206/1000*B217</f>
        <v>15057.524255775734</v>
      </c>
      <c r="C218" s="75">
        <f>C206/1000*C217</f>
        <v>15372.27588974386</v>
      </c>
      <c r="D218" s="75">
        <f>D206/1000*D217</f>
        <v>15454.50189770673</v>
      </c>
      <c r="E218" s="75">
        <f>E206/1000*E217</f>
        <v>15594.778362963409</v>
      </c>
      <c r="F218" s="75">
        <f>F206/1000*F217</f>
        <v>15744.149267582692</v>
      </c>
    </row>
    <row r="219" spans="1:6">
      <c r="A219" s="139" t="s">
        <v>170</v>
      </c>
      <c r="B219" s="152">
        <f>12*6</f>
        <v>72</v>
      </c>
      <c r="C219" s="193">
        <f>+B219-6</f>
        <v>66</v>
      </c>
      <c r="D219" s="193">
        <f>+C219-6</f>
        <v>60</v>
      </c>
      <c r="E219" s="193">
        <f>+D219</f>
        <v>60</v>
      </c>
      <c r="F219" s="193">
        <f>+E219</f>
        <v>60</v>
      </c>
    </row>
    <row r="220" spans="1:6" s="69" customFormat="1">
      <c r="A220" s="69" t="s">
        <v>204</v>
      </c>
      <c r="B220" s="76">
        <f>+B219*B218</f>
        <v>1084141.7464158528</v>
      </c>
      <c r="C220" s="76">
        <f t="shared" ref="C220:F220" si="87">+C219*C218</f>
        <v>1014570.2087230948</v>
      </c>
      <c r="D220" s="76">
        <f t="shared" si="87"/>
        <v>927270.11386240378</v>
      </c>
      <c r="E220" s="76">
        <f t="shared" si="87"/>
        <v>935686.70177780453</v>
      </c>
      <c r="F220" s="76">
        <f t="shared" si="87"/>
        <v>944648.95605496154</v>
      </c>
    </row>
    <row r="221" spans="1:6" s="140" customFormat="1" ht="14" thickBot="1">
      <c r="B221" s="13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45"/>
  <sheetViews>
    <sheetView zoomScale="200" zoomScaleNormal="200" zoomScalePageLayoutView="2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RowHeight="13" x14ac:dyDescent="0"/>
  <cols>
    <col min="1" max="1" width="29.42578125" bestFit="1" customWidth="1"/>
    <col min="2" max="2" width="11.85546875" style="6" customWidth="1"/>
    <col min="3" max="6" width="11.85546875" customWidth="1"/>
  </cols>
  <sheetData>
    <row r="1" spans="1:6" s="2" customFormat="1">
      <c r="A1" s="107" t="s">
        <v>159</v>
      </c>
      <c r="B1" s="5"/>
    </row>
    <row r="2" spans="1:6" s="2" customFormat="1">
      <c r="A2" s="202" t="s">
        <v>274</v>
      </c>
      <c r="B2" s="5"/>
    </row>
    <row r="3" spans="1:6" s="2" customFormat="1">
      <c r="A3" s="202" t="s">
        <v>174</v>
      </c>
      <c r="B3" s="236"/>
    </row>
    <row r="4" spans="1:6" s="2" customFormat="1">
      <c r="A4" s="156">
        <f ca="1">NOW()</f>
        <v>39644.605327430552</v>
      </c>
      <c r="B4" s="84"/>
    </row>
    <row r="5" spans="1:6" s="3" customFormat="1" ht="14" thickBot="1">
      <c r="A5" s="155"/>
      <c r="B5" s="89">
        <v>2012</v>
      </c>
      <c r="C5" s="4">
        <v>2013</v>
      </c>
      <c r="D5" s="4">
        <v>2014</v>
      </c>
      <c r="E5" s="4">
        <v>2015</v>
      </c>
      <c r="F5" s="4">
        <v>2016</v>
      </c>
    </row>
    <row r="6" spans="1:6" s="69" customFormat="1">
      <c r="A6" s="94" t="s">
        <v>163</v>
      </c>
      <c r="B6" s="188"/>
      <c r="C6" s="188"/>
      <c r="D6" s="188"/>
      <c r="E6" s="188"/>
      <c r="F6" s="188"/>
    </row>
    <row r="7" spans="1:6" s="68" customFormat="1">
      <c r="A7" s="106" t="s">
        <v>244</v>
      </c>
      <c r="B7" s="200">
        <f>+B30+B24+B18</f>
        <v>0</v>
      </c>
      <c r="C7" s="200">
        <f>+C30+C24+C18</f>
        <v>177743.99999999997</v>
      </c>
      <c r="D7" s="200">
        <f>+D30+D24+D18</f>
        <v>490581</v>
      </c>
      <c r="E7" s="200">
        <f>+E30+E24+E18</f>
        <v>895859.99999999977</v>
      </c>
      <c r="F7" s="200">
        <f>+F30+F24+F18</f>
        <v>1215837</v>
      </c>
    </row>
    <row r="8" spans="1:6" s="68" customFormat="1">
      <c r="A8" s="106" t="s">
        <v>245</v>
      </c>
      <c r="B8" s="199">
        <f>+B15+B21+B27</f>
        <v>0</v>
      </c>
      <c r="C8" s="199">
        <f>+C15+C21+C27</f>
        <v>54000</v>
      </c>
      <c r="D8" s="199">
        <f>+D15+D21+D27</f>
        <v>162000</v>
      </c>
      <c r="E8" s="199">
        <f>+E15+E21+E27</f>
        <v>324000</v>
      </c>
      <c r="F8" s="199">
        <f>+F15+F21+F27</f>
        <v>486000</v>
      </c>
    </row>
    <row r="9" spans="1:6" s="68" customFormat="1">
      <c r="A9" s="106" t="s">
        <v>246</v>
      </c>
      <c r="B9" s="199">
        <f>+B8/6</f>
        <v>0</v>
      </c>
      <c r="C9" s="199">
        <f t="shared" ref="C9:F9" si="0">+C8/6</f>
        <v>9000</v>
      </c>
      <c r="D9" s="199">
        <f t="shared" si="0"/>
        <v>27000</v>
      </c>
      <c r="E9" s="199">
        <f t="shared" si="0"/>
        <v>54000</v>
      </c>
      <c r="F9" s="199">
        <f t="shared" si="0"/>
        <v>81000</v>
      </c>
    </row>
    <row r="10" spans="1:6" s="68" customFormat="1">
      <c r="A10" s="106" t="s">
        <v>294</v>
      </c>
      <c r="B10" s="237">
        <f>B41</f>
        <v>0</v>
      </c>
      <c r="C10" s="237">
        <f>C41</f>
        <v>76200</v>
      </c>
      <c r="D10" s="237">
        <f>D41</f>
        <v>108600</v>
      </c>
      <c r="E10" s="237">
        <f>E41</f>
        <v>157200</v>
      </c>
      <c r="F10" s="237">
        <f>F41</f>
        <v>205800</v>
      </c>
    </row>
    <row r="11" spans="1:6" s="68" customFormat="1">
      <c r="A11" s="106" t="s">
        <v>219</v>
      </c>
      <c r="B11" s="237">
        <f>+B7-B10</f>
        <v>0</v>
      </c>
      <c r="C11" s="237">
        <f t="shared" ref="C11:F11" si="1">+C7-C10</f>
        <v>101543.99999999997</v>
      </c>
      <c r="D11" s="237">
        <f t="shared" si="1"/>
        <v>381981</v>
      </c>
      <c r="E11" s="237">
        <f t="shared" si="1"/>
        <v>738659.99999999977</v>
      </c>
      <c r="F11" s="237">
        <f t="shared" si="1"/>
        <v>1010037</v>
      </c>
    </row>
    <row r="12" spans="1:6" s="240" customFormat="1" ht="14" thickBot="1">
      <c r="A12" s="238"/>
      <c r="B12" s="239"/>
      <c r="C12" s="239"/>
      <c r="D12" s="239"/>
      <c r="E12" s="239"/>
      <c r="F12" s="239"/>
    </row>
    <row r="13" spans="1:6" s="45" customFormat="1">
      <c r="B13" s="46"/>
    </row>
    <row r="14" spans="1:6">
      <c r="A14" s="94" t="s">
        <v>99</v>
      </c>
      <c r="B14" s="39"/>
      <c r="C14" s="39"/>
      <c r="D14" s="39"/>
      <c r="E14" s="39"/>
      <c r="F14" s="39"/>
    </row>
    <row r="15" spans="1:6">
      <c r="A15" s="92" t="s">
        <v>161</v>
      </c>
      <c r="B15" s="203">
        <v>0</v>
      </c>
      <c r="C15" s="203">
        <f>5000*6</f>
        <v>30000</v>
      </c>
      <c r="D15" s="203">
        <f>+C15*3</f>
        <v>90000</v>
      </c>
      <c r="E15" s="203">
        <f>+D15*2</f>
        <v>180000</v>
      </c>
      <c r="F15" s="203">
        <f>+E15+90000</f>
        <v>270000</v>
      </c>
    </row>
    <row r="16" spans="1:6">
      <c r="A16" s="92" t="s">
        <v>96</v>
      </c>
      <c r="B16" s="204">
        <v>0</v>
      </c>
      <c r="C16" s="204">
        <f>(3*0.5)+(6.97*0.5)</f>
        <v>4.9849999999999994</v>
      </c>
      <c r="D16" s="204">
        <f>(3*0.6)+(6.97*0.4)</f>
        <v>4.5880000000000001</v>
      </c>
      <c r="E16" s="204">
        <f>(3*0.7)+(6.97*0.3)</f>
        <v>4.1909999999999989</v>
      </c>
      <c r="F16" s="204">
        <f>(3*0.8)+(6.97*0.2)</f>
        <v>3.7940000000000005</v>
      </c>
    </row>
    <row r="17" spans="1:6" s="9" customFormat="1">
      <c r="A17" s="92" t="s">
        <v>97</v>
      </c>
      <c r="B17" s="180">
        <v>0</v>
      </c>
      <c r="C17" s="180">
        <v>0.7</v>
      </c>
      <c r="D17" s="180">
        <v>0.7</v>
      </c>
      <c r="E17" s="180">
        <v>0.7</v>
      </c>
      <c r="F17" s="180">
        <v>0.7</v>
      </c>
    </row>
    <row r="18" spans="1:6" s="127" customFormat="1">
      <c r="A18" s="94" t="s">
        <v>100</v>
      </c>
      <c r="B18" s="130">
        <f>+B15*B16*B17</f>
        <v>0</v>
      </c>
      <c r="C18" s="130">
        <f t="shared" ref="C18:F18" si="2">+C15*C16*C17</f>
        <v>104684.99999999997</v>
      </c>
      <c r="D18" s="130">
        <f t="shared" si="2"/>
        <v>289044</v>
      </c>
      <c r="E18" s="130">
        <f t="shared" si="2"/>
        <v>528065.99999999977</v>
      </c>
      <c r="F18" s="130">
        <f t="shared" si="2"/>
        <v>717066</v>
      </c>
    </row>
    <row r="19" spans="1:6">
      <c r="A19" s="92"/>
      <c r="B19" s="7"/>
      <c r="C19" s="7"/>
      <c r="D19" s="7"/>
      <c r="E19" s="7"/>
      <c r="F19" s="7"/>
    </row>
    <row r="20" spans="1:6">
      <c r="A20" s="94" t="s">
        <v>95</v>
      </c>
      <c r="B20" s="39"/>
      <c r="C20" s="39"/>
      <c r="D20" s="39"/>
      <c r="E20" s="39"/>
      <c r="F20" s="39"/>
    </row>
    <row r="21" spans="1:6">
      <c r="A21" s="92" t="s">
        <v>161</v>
      </c>
      <c r="B21" s="203">
        <f>+B15*60%</f>
        <v>0</v>
      </c>
      <c r="C21" s="203">
        <f t="shared" ref="C21:F21" si="3">+C15*60%</f>
        <v>18000</v>
      </c>
      <c r="D21" s="203">
        <f t="shared" si="3"/>
        <v>54000</v>
      </c>
      <c r="E21" s="203">
        <f t="shared" si="3"/>
        <v>108000</v>
      </c>
      <c r="F21" s="203">
        <f t="shared" si="3"/>
        <v>162000</v>
      </c>
    </row>
    <row r="22" spans="1:6">
      <c r="A22" s="92" t="s">
        <v>96</v>
      </c>
      <c r="B22" s="204">
        <v>0</v>
      </c>
      <c r="C22" s="204">
        <f>(2.97*0.5)+(6.97*0.5)</f>
        <v>4.97</v>
      </c>
      <c r="D22" s="204">
        <f>(2.97*0.6)+(6.97*0.4)</f>
        <v>4.57</v>
      </c>
      <c r="E22" s="204">
        <f>(2.97*0.7)+(6.97*0.3)</f>
        <v>4.17</v>
      </c>
      <c r="F22" s="204">
        <f>(2.97*0.8)+(6.97*0.2)</f>
        <v>3.7700000000000005</v>
      </c>
    </row>
    <row r="23" spans="1:6" s="9" customFormat="1">
      <c r="A23" s="92" t="s">
        <v>97</v>
      </c>
      <c r="B23" s="180">
        <v>0</v>
      </c>
      <c r="C23" s="180">
        <v>0.65</v>
      </c>
      <c r="D23" s="180">
        <v>0.65</v>
      </c>
      <c r="E23" s="180">
        <v>0.65</v>
      </c>
      <c r="F23" s="180">
        <v>0.65</v>
      </c>
    </row>
    <row r="24" spans="1:6" s="127" customFormat="1">
      <c r="A24" s="94" t="s">
        <v>101</v>
      </c>
      <c r="B24" s="130">
        <f>+B21*B22*B23</f>
        <v>0</v>
      </c>
      <c r="C24" s="130">
        <f t="shared" ref="C24:F24" si="4">+C21*C22*C23</f>
        <v>58149</v>
      </c>
      <c r="D24" s="130">
        <f t="shared" si="4"/>
        <v>160407.00000000003</v>
      </c>
      <c r="E24" s="130">
        <f t="shared" si="4"/>
        <v>292734</v>
      </c>
      <c r="F24" s="130">
        <f t="shared" si="4"/>
        <v>396981.00000000012</v>
      </c>
    </row>
    <row r="25" spans="1:6" s="10" customFormat="1">
      <c r="A25" s="94"/>
      <c r="B25" s="11"/>
      <c r="C25" s="11"/>
      <c r="D25" s="11"/>
      <c r="E25" s="11"/>
      <c r="F25" s="11"/>
    </row>
    <row r="26" spans="1:6" s="10" customFormat="1">
      <c r="A26" s="94" t="s">
        <v>98</v>
      </c>
      <c r="B26" s="128"/>
      <c r="C26" s="128"/>
      <c r="D26" s="128"/>
      <c r="E26" s="128"/>
      <c r="F26" s="128"/>
    </row>
    <row r="27" spans="1:6">
      <c r="A27" s="92" t="s">
        <v>161</v>
      </c>
      <c r="B27" s="203">
        <f>+B15*20%</f>
        <v>0</v>
      </c>
      <c r="C27" s="203">
        <f t="shared" ref="C27:F27" si="5">+C15*20%</f>
        <v>6000</v>
      </c>
      <c r="D27" s="203">
        <f t="shared" si="5"/>
        <v>18000</v>
      </c>
      <c r="E27" s="203">
        <f t="shared" si="5"/>
        <v>36000</v>
      </c>
      <c r="F27" s="203">
        <f t="shared" si="5"/>
        <v>54000</v>
      </c>
    </row>
    <row r="28" spans="1:6">
      <c r="A28" s="92" t="s">
        <v>96</v>
      </c>
      <c r="B28" s="205">
        <v>0</v>
      </c>
      <c r="C28" s="204">
        <f>(2.97*0.5)+(6.97*0.5)</f>
        <v>4.97</v>
      </c>
      <c r="D28" s="204">
        <f>(2.97*0.6)+(6.97*0.4)</f>
        <v>4.57</v>
      </c>
      <c r="E28" s="204">
        <f>(2.97*0.7)+(6.97*0.3)</f>
        <v>4.17</v>
      </c>
      <c r="F28" s="204">
        <f>(2.97*0.8)+(6.97*0.2)</f>
        <v>3.7700000000000005</v>
      </c>
    </row>
    <row r="29" spans="1:6">
      <c r="A29" s="92" t="s">
        <v>97</v>
      </c>
      <c r="B29" s="180">
        <v>0</v>
      </c>
      <c r="C29" s="180">
        <v>0.5</v>
      </c>
      <c r="D29" s="180">
        <v>0.5</v>
      </c>
      <c r="E29" s="180">
        <v>0.5</v>
      </c>
      <c r="F29" s="180">
        <v>0.5</v>
      </c>
    </row>
    <row r="30" spans="1:6">
      <c r="A30" s="94" t="s">
        <v>102</v>
      </c>
      <c r="B30" s="130">
        <f>+B27*B28*B29</f>
        <v>0</v>
      </c>
      <c r="C30" s="130">
        <f t="shared" ref="C30:F30" si="6">+C27*C28*C29</f>
        <v>14910</v>
      </c>
      <c r="D30" s="130">
        <f t="shared" si="6"/>
        <v>41130</v>
      </c>
      <c r="E30" s="130">
        <f t="shared" si="6"/>
        <v>75060</v>
      </c>
      <c r="F30" s="130">
        <f t="shared" si="6"/>
        <v>101790.00000000001</v>
      </c>
    </row>
    <row r="31" spans="1:6" s="45" customFormat="1">
      <c r="A31" s="95"/>
      <c r="B31" s="88"/>
      <c r="C31" s="88"/>
      <c r="D31" s="88"/>
      <c r="E31" s="88"/>
      <c r="F31" s="88"/>
    </row>
    <row r="32" spans="1:6">
      <c r="A32" s="92"/>
      <c r="C32" s="6"/>
      <c r="D32" s="6"/>
      <c r="E32" s="6"/>
      <c r="F32" s="6"/>
    </row>
    <row r="33" spans="1:6" s="45" customFormat="1">
      <c r="A33" s="106" t="s">
        <v>295</v>
      </c>
      <c r="B33" s="46"/>
      <c r="C33" s="46"/>
      <c r="D33" s="46"/>
      <c r="E33" s="46"/>
      <c r="F33" s="46"/>
    </row>
    <row r="34" spans="1:6" s="45" customFormat="1">
      <c r="A34" s="106"/>
      <c r="B34" s="46"/>
      <c r="C34" s="46"/>
      <c r="D34" s="46"/>
      <c r="E34" s="46"/>
      <c r="F34" s="46"/>
    </row>
    <row r="35" spans="1:6" s="45" customFormat="1">
      <c r="A35" s="94" t="s">
        <v>296</v>
      </c>
      <c r="B35" s="46"/>
      <c r="C35" s="46"/>
      <c r="D35" s="46"/>
      <c r="E35" s="46"/>
      <c r="F35" s="46"/>
    </row>
    <row r="36" spans="1:6" s="45" customFormat="1">
      <c r="A36" s="45" t="s">
        <v>297</v>
      </c>
      <c r="B36" s="204">
        <v>0.3</v>
      </c>
      <c r="C36" s="204">
        <v>0.3</v>
      </c>
      <c r="D36" s="204">
        <v>0.3</v>
      </c>
      <c r="E36" s="204">
        <v>0.3</v>
      </c>
      <c r="F36" s="204">
        <v>0.3</v>
      </c>
    </row>
    <row r="37" spans="1:6" s="69" customFormat="1">
      <c r="A37" s="94" t="s">
        <v>298</v>
      </c>
      <c r="B37" s="76">
        <f>((B15+B21+B27)*B36)</f>
        <v>0</v>
      </c>
      <c r="C37" s="76">
        <f t="shared" ref="C37:F37" si="7">((C15+C21+C27)*C36)</f>
        <v>16200</v>
      </c>
      <c r="D37" s="76">
        <f t="shared" si="7"/>
        <v>48600</v>
      </c>
      <c r="E37" s="76">
        <f t="shared" si="7"/>
        <v>97200</v>
      </c>
      <c r="F37" s="76">
        <f t="shared" si="7"/>
        <v>145800</v>
      </c>
    </row>
    <row r="38" spans="1:6" s="69" customFormat="1">
      <c r="A38" s="94"/>
      <c r="B38" s="76"/>
      <c r="C38" s="76"/>
      <c r="D38" s="76"/>
      <c r="E38" s="76"/>
      <c r="F38" s="76"/>
    </row>
    <row r="39" spans="1:6" s="69" customFormat="1">
      <c r="A39" s="94" t="s">
        <v>302</v>
      </c>
      <c r="B39" s="245">
        <v>0</v>
      </c>
      <c r="C39" s="245">
        <v>60000</v>
      </c>
      <c r="D39" s="245">
        <v>60000</v>
      </c>
      <c r="E39" s="245">
        <v>60000</v>
      </c>
      <c r="F39" s="245">
        <v>60000</v>
      </c>
    </row>
    <row r="40" spans="1:6" s="69" customFormat="1">
      <c r="A40" s="94"/>
      <c r="B40" s="76"/>
      <c r="C40" s="76"/>
      <c r="D40" s="76"/>
      <c r="E40" s="76"/>
      <c r="F40" s="76"/>
    </row>
    <row r="41" spans="1:6" s="69" customFormat="1">
      <c r="A41" s="94" t="s">
        <v>303</v>
      </c>
      <c r="B41" s="76">
        <f>+B37+B39</f>
        <v>0</v>
      </c>
      <c r="C41" s="76">
        <f>+C37+C39</f>
        <v>76200</v>
      </c>
      <c r="D41" s="76">
        <f>+D37+D39</f>
        <v>108600</v>
      </c>
      <c r="E41" s="76">
        <f>+E37+E39</f>
        <v>157200</v>
      </c>
      <c r="F41" s="76">
        <f>+F37+F39</f>
        <v>205800</v>
      </c>
    </row>
    <row r="42" spans="1:6" s="69" customFormat="1">
      <c r="A42" s="94"/>
      <c r="B42" s="76"/>
      <c r="C42" s="76"/>
      <c r="D42" s="76"/>
      <c r="E42" s="76"/>
      <c r="F42" s="76"/>
    </row>
    <row r="43" spans="1:6">
      <c r="A43" s="92"/>
      <c r="B43" s="75"/>
      <c r="C43" s="75"/>
      <c r="D43" s="75"/>
      <c r="E43" s="75"/>
      <c r="F43" s="75"/>
    </row>
    <row r="44" spans="1:6" s="243" customFormat="1">
      <c r="A44" s="241" t="s">
        <v>299</v>
      </c>
      <c r="B44" s="242">
        <f>+B18+B24+B30-B41</f>
        <v>0</v>
      </c>
      <c r="C44" s="242">
        <f>+C18+C24+C30-C41</f>
        <v>101543.99999999997</v>
      </c>
      <c r="D44" s="242">
        <f>+D18+D24+D30-D41</f>
        <v>381981</v>
      </c>
      <c r="E44" s="242">
        <f>+E18+E24+E30-E41</f>
        <v>738659.99999999977</v>
      </c>
      <c r="F44" s="242">
        <f>+F18+F24+F30-F41</f>
        <v>1010037</v>
      </c>
    </row>
    <row r="45" spans="1:6" s="43" customFormat="1">
      <c r="A45" s="100" t="s">
        <v>300</v>
      </c>
      <c r="B45" s="244">
        <f>IF(B7,B44/B7,0)</f>
        <v>0</v>
      </c>
      <c r="C45" s="244">
        <f t="shared" ref="C45:F45" si="8">IF(C7,C44/C7,0)</f>
        <v>0.57129354577369695</v>
      </c>
      <c r="D45" s="244">
        <f t="shared" si="8"/>
        <v>0.77862982871330122</v>
      </c>
      <c r="E45" s="244">
        <f t="shared" si="8"/>
        <v>0.82452615364007764</v>
      </c>
      <c r="F45" s="244">
        <f t="shared" si="8"/>
        <v>0.83073388949341076</v>
      </c>
    </row>
  </sheetData>
  <phoneticPr fontId="6" type="noConversion"/>
  <pageMargins left="0.5" right="0.5" top="0.5" bottom="0.5" header="0.5" footer="0.5"/>
  <pageSetup fitToHeight="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12"/>
  <sheetViews>
    <sheetView zoomScale="200" zoomScaleNormal="200" zoomScalePageLayoutView="2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3" x14ac:dyDescent="0"/>
  <cols>
    <col min="1" max="1" width="20.42578125" customWidth="1"/>
    <col min="2" max="6" width="11.85546875" customWidth="1"/>
    <col min="7" max="7" width="11.140625" bestFit="1" customWidth="1"/>
  </cols>
  <sheetData>
    <row r="1" spans="1:6" s="2" customFormat="1">
      <c r="A1" s="107" t="s">
        <v>159</v>
      </c>
      <c r="B1" s="5"/>
    </row>
    <row r="2" spans="1:6" s="2" customFormat="1">
      <c r="A2" s="202" t="s">
        <v>274</v>
      </c>
      <c r="B2" s="5"/>
    </row>
    <row r="3" spans="1:6" s="2" customFormat="1">
      <c r="A3" s="202" t="s">
        <v>175</v>
      </c>
      <c r="B3" s="5"/>
    </row>
    <row r="4" spans="1:6" s="2" customFormat="1">
      <c r="A4" s="156">
        <f ca="1">NOW()</f>
        <v>39644.605327430552</v>
      </c>
      <c r="B4" s="84"/>
    </row>
    <row r="5" spans="1:6" s="3" customFormat="1" ht="14" thickBot="1">
      <c r="A5" s="155"/>
      <c r="B5" s="89">
        <v>2012</v>
      </c>
      <c r="C5" s="4">
        <v>2013</v>
      </c>
      <c r="D5" s="4">
        <v>2014</v>
      </c>
      <c r="E5" s="4">
        <v>2015</v>
      </c>
      <c r="F5" s="4">
        <v>2016</v>
      </c>
    </row>
    <row r="6" spans="1:6" s="139" customFormat="1">
      <c r="A6" s="139" t="s">
        <v>176</v>
      </c>
      <c r="B6" s="206">
        <v>18</v>
      </c>
      <c r="C6" s="206">
        <v>21</v>
      </c>
      <c r="D6" s="206">
        <v>24</v>
      </c>
      <c r="E6" s="206">
        <v>27</v>
      </c>
      <c r="F6" s="206">
        <v>27</v>
      </c>
    </row>
    <row r="7" spans="1:6" s="139" customFormat="1">
      <c r="A7" s="139" t="s">
        <v>177</v>
      </c>
      <c r="B7" s="207">
        <v>80000</v>
      </c>
      <c r="C7" s="207">
        <v>80000</v>
      </c>
      <c r="D7" s="207">
        <v>80000</v>
      </c>
      <c r="E7" s="207">
        <v>80000</v>
      </c>
      <c r="F7" s="207">
        <v>80000</v>
      </c>
    </row>
    <row r="8" spans="1:6" s="139" customFormat="1">
      <c r="A8" s="139" t="s">
        <v>178</v>
      </c>
      <c r="B8" s="163">
        <f>+B7*B6</f>
        <v>1440000</v>
      </c>
      <c r="C8" s="163">
        <f t="shared" ref="C8:F8" si="0">+C7*C6</f>
        <v>1680000</v>
      </c>
      <c r="D8" s="163">
        <f t="shared" si="0"/>
        <v>1920000</v>
      </c>
      <c r="E8" s="163">
        <f t="shared" si="0"/>
        <v>2160000</v>
      </c>
      <c r="F8" s="163">
        <f t="shared" si="0"/>
        <v>2160000</v>
      </c>
    </row>
    <row r="9" spans="1:6" s="139" customFormat="1">
      <c r="A9" s="139" t="s">
        <v>179</v>
      </c>
      <c r="B9" s="208">
        <v>0.8</v>
      </c>
      <c r="C9" s="208">
        <v>0.8</v>
      </c>
      <c r="D9" s="208">
        <v>0.8</v>
      </c>
      <c r="E9" s="208">
        <v>0.8</v>
      </c>
      <c r="F9" s="208">
        <v>0.8</v>
      </c>
    </row>
    <row r="10" spans="1:6" s="139" customFormat="1">
      <c r="A10" s="139" t="s">
        <v>180</v>
      </c>
      <c r="B10" s="163">
        <f>+B8*B9</f>
        <v>1152000</v>
      </c>
      <c r="C10" s="163">
        <f t="shared" ref="C10:F10" si="1">+C8*C9</f>
        <v>1344000</v>
      </c>
      <c r="D10" s="163">
        <f t="shared" si="1"/>
        <v>1536000</v>
      </c>
      <c r="E10" s="163">
        <f t="shared" si="1"/>
        <v>1728000</v>
      </c>
      <c r="F10" s="163">
        <f t="shared" si="1"/>
        <v>1728000</v>
      </c>
    </row>
    <row r="11" spans="1:6">
      <c r="A11" s="69" t="s">
        <v>181</v>
      </c>
      <c r="B11" s="77">
        <f>+B8+B10</f>
        <v>2592000</v>
      </c>
      <c r="C11" s="77">
        <f t="shared" ref="C11:F11" si="2">+C8+C10</f>
        <v>3024000</v>
      </c>
      <c r="D11" s="77">
        <f t="shared" si="2"/>
        <v>3456000</v>
      </c>
      <c r="E11" s="77">
        <f t="shared" si="2"/>
        <v>3888000</v>
      </c>
      <c r="F11" s="77">
        <f t="shared" si="2"/>
        <v>3888000</v>
      </c>
    </row>
    <row r="12" spans="1:6">
      <c r="A12" s="69" t="s">
        <v>258</v>
      </c>
      <c r="B12" s="221">
        <f>+B11/B6</f>
        <v>144000</v>
      </c>
      <c r="C12" s="221">
        <f>+C11/C6</f>
        <v>144000</v>
      </c>
      <c r="D12" s="221">
        <f>+D11/D6</f>
        <v>144000</v>
      </c>
      <c r="E12" s="221">
        <f>+E11/E6</f>
        <v>144000</v>
      </c>
      <c r="F12" s="221">
        <f>+F11/F6</f>
        <v>144000</v>
      </c>
    </row>
  </sheetData>
  <phoneticPr fontId="6" type="noConversion"/>
  <pageMargins left="0.5" right="0.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baseColWidth="10" defaultRowHeight="13" x14ac:dyDescent="0"/>
  <cols>
    <col min="1" max="1" width="38.140625" bestFit="1" customWidth="1"/>
    <col min="2" max="2" width="16.7109375" bestFit="1" customWidth="1"/>
    <col min="3" max="3" width="13.28515625" bestFit="1" customWidth="1"/>
  </cols>
  <sheetData>
    <row r="1" spans="1:3" ht="18">
      <c r="A1" s="12" t="s">
        <v>171</v>
      </c>
      <c r="B1" s="13" t="s">
        <v>21</v>
      </c>
    </row>
    <row r="2" spans="1:3" ht="18">
      <c r="A2" s="16" t="s">
        <v>22</v>
      </c>
      <c r="B2" s="15">
        <v>900</v>
      </c>
    </row>
    <row r="3" spans="1:3" ht="18">
      <c r="A3" s="16" t="s">
        <v>62</v>
      </c>
      <c r="B3" s="15">
        <v>12</v>
      </c>
      <c r="C3" s="16" t="s">
        <v>23</v>
      </c>
    </row>
    <row r="4" spans="1:3" ht="18">
      <c r="A4" s="16" t="s">
        <v>63</v>
      </c>
      <c r="B4" s="109">
        <v>0.3</v>
      </c>
      <c r="C4" s="16" t="s">
        <v>23</v>
      </c>
    </row>
  </sheetData>
  <phoneticPr fontId="8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baseColWidth="10" defaultColWidth="10.7109375" defaultRowHeight="18" x14ac:dyDescent="0"/>
  <cols>
    <col min="1" max="1" width="22.85546875" style="38" customWidth="1"/>
    <col min="2" max="2" width="16" style="24" customWidth="1"/>
    <col min="3" max="4" width="10.7109375" style="24"/>
    <col min="5" max="5" width="32.42578125" style="24" hidden="1" customWidth="1"/>
    <col min="6" max="6" width="17.7109375" style="24" hidden="1" customWidth="1"/>
    <col min="7" max="7" width="32.42578125" style="24" hidden="1" customWidth="1"/>
    <col min="8" max="16384" width="10.7109375" style="24"/>
  </cols>
  <sheetData>
    <row r="1" spans="1:7" s="17" customFormat="1">
      <c r="A1" s="17" t="s">
        <v>24</v>
      </c>
    </row>
    <row r="2" spans="1:7" s="19" customFormat="1">
      <c r="A2" s="18"/>
      <c r="B2" s="18"/>
      <c r="E2" s="20" t="s">
        <v>50</v>
      </c>
      <c r="F2" s="21"/>
      <c r="G2" s="22"/>
    </row>
    <row r="3" spans="1:7">
      <c r="A3" s="23"/>
      <c r="B3" s="23"/>
      <c r="E3" s="20" t="s">
        <v>51</v>
      </c>
      <c r="F3" s="20" t="s">
        <v>52</v>
      </c>
      <c r="G3" s="25" t="s">
        <v>53</v>
      </c>
    </row>
    <row r="4" spans="1:7" s="17" customFormat="1">
      <c r="A4" s="26" t="s">
        <v>54</v>
      </c>
      <c r="B4" s="26"/>
      <c r="C4" s="27" t="s">
        <v>55</v>
      </c>
      <c r="E4" s="28">
        <v>0</v>
      </c>
      <c r="F4" s="28">
        <v>50000</v>
      </c>
      <c r="G4" s="29">
        <v>6</v>
      </c>
    </row>
    <row r="5" spans="1:7">
      <c r="A5" s="23">
        <v>0</v>
      </c>
      <c r="B5" s="30">
        <v>50000</v>
      </c>
      <c r="C5" s="31">
        <v>6</v>
      </c>
      <c r="D5" s="19"/>
      <c r="E5" s="28">
        <v>50001</v>
      </c>
      <c r="F5" s="28">
        <v>100000</v>
      </c>
      <c r="G5" s="29">
        <v>5</v>
      </c>
    </row>
    <row r="6" spans="1:7" s="14" customFormat="1">
      <c r="A6" s="30">
        <v>50001</v>
      </c>
      <c r="B6" s="30">
        <v>100000</v>
      </c>
      <c r="C6" s="31">
        <v>5</v>
      </c>
      <c r="D6" s="24"/>
      <c r="E6" s="28">
        <v>100001</v>
      </c>
      <c r="F6" s="28">
        <v>250000</v>
      </c>
      <c r="G6" s="29">
        <v>4</v>
      </c>
    </row>
    <row r="7" spans="1:7" s="14" customFormat="1">
      <c r="A7" s="30">
        <v>100001</v>
      </c>
      <c r="B7" s="30">
        <v>250000</v>
      </c>
      <c r="C7" s="31">
        <v>4</v>
      </c>
      <c r="D7" s="24"/>
      <c r="E7" s="28">
        <v>250001</v>
      </c>
      <c r="F7" s="28">
        <v>500000</v>
      </c>
      <c r="G7" s="29">
        <v>3.5</v>
      </c>
    </row>
    <row r="8" spans="1:7" s="14" customFormat="1">
      <c r="A8" s="30">
        <v>250001</v>
      </c>
      <c r="B8" s="30">
        <v>500000</v>
      </c>
      <c r="C8" s="31">
        <v>3.5</v>
      </c>
      <c r="D8" s="24"/>
      <c r="E8" s="28">
        <v>500001</v>
      </c>
      <c r="F8" s="28">
        <v>1000000</v>
      </c>
      <c r="G8" s="29">
        <v>2.75</v>
      </c>
    </row>
    <row r="9" spans="1:7" s="14" customFormat="1">
      <c r="A9" s="30">
        <v>500001</v>
      </c>
      <c r="B9" s="30">
        <v>1000000</v>
      </c>
      <c r="C9" s="31">
        <v>2.75</v>
      </c>
      <c r="D9" s="24"/>
      <c r="E9" s="28">
        <v>1000001</v>
      </c>
      <c r="F9" s="28">
        <v>2000000</v>
      </c>
      <c r="G9" s="29">
        <v>2</v>
      </c>
    </row>
    <row r="10" spans="1:7" s="14" customFormat="1">
      <c r="A10" s="30">
        <v>1000001</v>
      </c>
      <c r="B10" s="30">
        <v>2000000</v>
      </c>
      <c r="C10" s="31">
        <v>2</v>
      </c>
      <c r="D10" s="24"/>
      <c r="E10" s="28">
        <v>2000001</v>
      </c>
      <c r="F10" s="28">
        <v>5000000</v>
      </c>
      <c r="G10" s="29">
        <v>1.25</v>
      </c>
    </row>
    <row r="11" spans="1:7" s="14" customFormat="1">
      <c r="A11" s="30">
        <v>2000001</v>
      </c>
      <c r="B11" s="30">
        <v>3000000</v>
      </c>
      <c r="C11" s="31">
        <v>1.25</v>
      </c>
      <c r="D11" s="24"/>
      <c r="E11" s="28">
        <v>5000001</v>
      </c>
      <c r="F11" s="28">
        <v>20000000</v>
      </c>
      <c r="G11" s="29">
        <v>1</v>
      </c>
    </row>
    <row r="12" spans="1:7" s="14" customFormat="1">
      <c r="A12" s="30">
        <v>3000001</v>
      </c>
      <c r="B12" s="30">
        <v>4000000</v>
      </c>
      <c r="C12" s="31">
        <v>1.25</v>
      </c>
      <c r="D12" s="24"/>
      <c r="E12" s="28">
        <v>20000001</v>
      </c>
      <c r="F12" s="28">
        <v>100000000</v>
      </c>
      <c r="G12" s="29">
        <v>0.75</v>
      </c>
    </row>
    <row r="13" spans="1:7">
      <c r="A13" s="30">
        <v>4000001</v>
      </c>
      <c r="B13" s="30">
        <v>5000000</v>
      </c>
      <c r="C13" s="31">
        <v>1.1299999999999999</v>
      </c>
      <c r="E13" s="30"/>
      <c r="F13" s="30"/>
    </row>
    <row r="14" spans="1:7">
      <c r="A14" s="30">
        <v>5000001</v>
      </c>
      <c r="B14" s="30">
        <v>6000000</v>
      </c>
      <c r="C14" s="32">
        <v>1</v>
      </c>
      <c r="E14" s="20" t="s">
        <v>56</v>
      </c>
      <c r="F14" s="22"/>
      <c r="G14" s="33">
        <v>6000000</v>
      </c>
    </row>
    <row r="15" spans="1:7">
      <c r="A15" s="30">
        <v>6000001</v>
      </c>
      <c r="B15" s="30">
        <v>7000000</v>
      </c>
      <c r="C15" s="32">
        <v>0.92</v>
      </c>
      <c r="E15" s="20" t="s">
        <v>57</v>
      </c>
      <c r="F15" s="22"/>
      <c r="G15" s="34">
        <f>IF(G14&gt;0,VLOOKUP(G$14,E4:G12,3),0)</f>
        <v>1</v>
      </c>
    </row>
    <row r="16" spans="1:7">
      <c r="A16" s="30">
        <v>7000001</v>
      </c>
      <c r="B16" s="30">
        <v>8000000</v>
      </c>
      <c r="C16" s="32">
        <v>0.86</v>
      </c>
      <c r="E16" s="20" t="s">
        <v>58</v>
      </c>
      <c r="F16" s="22"/>
      <c r="G16" s="35">
        <f>G15*G14/1000</f>
        <v>6000</v>
      </c>
    </row>
    <row r="17" spans="1:7">
      <c r="A17" s="30">
        <v>8000001</v>
      </c>
      <c r="B17" s="30">
        <v>9000000</v>
      </c>
      <c r="C17" s="32">
        <v>0.81</v>
      </c>
      <c r="E17" s="20" t="s">
        <v>59</v>
      </c>
      <c r="F17" s="22"/>
      <c r="G17" s="36">
        <v>600</v>
      </c>
    </row>
    <row r="18" spans="1:7">
      <c r="A18" s="30">
        <v>9000001</v>
      </c>
      <c r="B18" s="30">
        <v>10000000</v>
      </c>
      <c r="C18" s="31">
        <v>0.78</v>
      </c>
      <c r="E18" s="20" t="s">
        <v>60</v>
      </c>
      <c r="F18" s="22"/>
      <c r="G18" s="37">
        <f>+G17+G16</f>
        <v>6600</v>
      </c>
    </row>
    <row r="19" spans="1:7">
      <c r="A19" s="30">
        <v>10000001</v>
      </c>
      <c r="B19" s="30">
        <v>12000000</v>
      </c>
      <c r="C19" s="31">
        <v>0.75</v>
      </c>
    </row>
    <row r="21" spans="1:7">
      <c r="A21" s="30"/>
    </row>
  </sheetData>
  <phoneticPr fontId="8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75"/>
  <sheetViews>
    <sheetView topLeftCell="A44" workbookViewId="0">
      <selection activeCell="E62" sqref="E62"/>
    </sheetView>
  </sheetViews>
  <sheetFormatPr baseColWidth="10" defaultRowHeight="18" x14ac:dyDescent="0"/>
  <cols>
    <col min="1" max="1" width="31.42578125" style="24" bestFit="1" customWidth="1"/>
    <col min="2" max="2" width="15.85546875" style="24" customWidth="1"/>
    <col min="3" max="3" width="18" style="24" bestFit="1" customWidth="1"/>
    <col min="4" max="5" width="15.85546875" style="24" customWidth="1"/>
    <col min="6" max="6" width="15" style="24" customWidth="1"/>
    <col min="7" max="16384" width="10.7109375" style="24"/>
  </cols>
  <sheetData>
    <row r="1" spans="1:6">
      <c r="B1" s="62" t="s">
        <v>44</v>
      </c>
      <c r="C1" s="63" t="s">
        <v>15</v>
      </c>
      <c r="D1" s="63" t="s">
        <v>16</v>
      </c>
      <c r="E1" s="63" t="s">
        <v>17</v>
      </c>
      <c r="F1" s="63" t="s">
        <v>18</v>
      </c>
    </row>
    <row r="2" spans="1:6">
      <c r="A2" s="64" t="s">
        <v>43</v>
      </c>
      <c r="B2" s="65">
        <f>+Online!B83</f>
        <v>104963.49636451202</v>
      </c>
      <c r="C2" s="65">
        <f>+Online!C83</f>
        <v>487650.45090076805</v>
      </c>
      <c r="D2" s="65">
        <f>+Online!D83</f>
        <v>1403369.2411391428</v>
      </c>
      <c r="E2" s="65">
        <f>+Online!E83</f>
        <v>3211568.6564370771</v>
      </c>
      <c r="F2" s="65">
        <f>+Online!F83</f>
        <v>5239280.8493586974</v>
      </c>
    </row>
    <row r="3" spans="1:6">
      <c r="A3" s="64" t="s">
        <v>45</v>
      </c>
      <c r="B3" s="65">
        <f>+Online!B115</f>
        <v>-287223.61306612077</v>
      </c>
      <c r="C3" s="65">
        <f>+Online!C115</f>
        <v>75224.646834432322</v>
      </c>
      <c r="D3" s="65">
        <f>+Online!D115</f>
        <v>1030132.8154566961</v>
      </c>
      <c r="E3" s="65">
        <f>+Online!E115</f>
        <v>2692503.5691735749</v>
      </c>
      <c r="F3" s="65">
        <f>+Online!F115</f>
        <v>4555636.5717967339</v>
      </c>
    </row>
    <row r="5" spans="1:6">
      <c r="A5" s="24" t="s">
        <v>269</v>
      </c>
    </row>
    <row r="6" spans="1:6">
      <c r="A6" s="14" t="s">
        <v>46</v>
      </c>
      <c r="B6" s="218">
        <f>+Online!F63</f>
        <v>643910.81280372024</v>
      </c>
      <c r="C6" s="217"/>
      <c r="D6" s="72">
        <f>IF(C$9,+B6/C$9,)</f>
        <v>0.12290061008707649</v>
      </c>
    </row>
    <row r="7" spans="1:6">
      <c r="A7" s="14" t="s">
        <v>47</v>
      </c>
      <c r="B7" s="218">
        <f>+Online!F75</f>
        <v>3395370.0365549773</v>
      </c>
      <c r="C7" s="217"/>
      <c r="D7" s="72">
        <f>IF(C$9,+B7/C$9,)</f>
        <v>0.64806032243348433</v>
      </c>
    </row>
    <row r="8" spans="1:6">
      <c r="A8" s="14" t="s">
        <v>6</v>
      </c>
      <c r="B8" s="218">
        <f>+Online!F80</f>
        <v>1200000</v>
      </c>
      <c r="C8" s="217"/>
      <c r="D8" s="72">
        <f>IF(C$9,+B8/C$9,)</f>
        <v>0.22903906747943917</v>
      </c>
    </row>
    <row r="9" spans="1:6">
      <c r="A9" s="14"/>
      <c r="B9" s="217"/>
      <c r="C9" s="218">
        <f>SUM(B6:B8)</f>
        <v>5239280.8493586974</v>
      </c>
    </row>
    <row r="10" spans="1:6">
      <c r="A10" s="14"/>
      <c r="B10" s="218"/>
      <c r="C10" s="217"/>
    </row>
    <row r="11" spans="1:6">
      <c r="A11" s="14" t="s">
        <v>268</v>
      </c>
      <c r="B11" s="218"/>
      <c r="C11" s="217"/>
    </row>
    <row r="12" spans="1:6">
      <c r="A12" s="14" t="s">
        <v>103</v>
      </c>
      <c r="B12" s="219">
        <f>+Magazine!F33</f>
        <v>1785641.7599999998</v>
      </c>
      <c r="C12" s="217"/>
      <c r="D12" s="72">
        <f t="shared" ref="D12:D20" si="0">+B12/C$21</f>
        <v>0.13952856822126164</v>
      </c>
    </row>
    <row r="13" spans="1:6">
      <c r="A13" s="14" t="s">
        <v>121</v>
      </c>
      <c r="B13" s="219">
        <f>+Magazine!F57</f>
        <v>1204416</v>
      </c>
      <c r="C13" s="217"/>
      <c r="D13" s="72">
        <f t="shared" si="0"/>
        <v>9.4112068717960018E-2</v>
      </c>
    </row>
    <row r="14" spans="1:6">
      <c r="A14" s="14" t="s">
        <v>223</v>
      </c>
      <c r="B14" s="219">
        <f>+Magazine!F67</f>
        <v>229547.51999999999</v>
      </c>
      <c r="C14" s="217"/>
      <c r="D14" s="72">
        <f t="shared" si="0"/>
        <v>1.7936653096834732E-2</v>
      </c>
    </row>
    <row r="15" spans="1:6">
      <c r="A15" s="14" t="s">
        <v>131</v>
      </c>
      <c r="B15" s="219">
        <f>+Magazine!F86</f>
        <v>1610456.4355621526</v>
      </c>
      <c r="C15" s="217"/>
      <c r="D15" s="72">
        <f t="shared" si="0"/>
        <v>0.12583973206176791</v>
      </c>
    </row>
    <row r="16" spans="1:6">
      <c r="A16" s="14" t="s">
        <v>135</v>
      </c>
      <c r="B16" s="219">
        <f>+Magazine!F102</f>
        <v>100800</v>
      </c>
      <c r="C16" s="217"/>
      <c r="D16" s="72">
        <f t="shared" si="0"/>
        <v>7.8764285153720727E-3</v>
      </c>
    </row>
    <row r="17" spans="1:4">
      <c r="A17" s="14" t="s">
        <v>138</v>
      </c>
      <c r="B17" s="219">
        <f>+Magazine!F118</f>
        <v>43200</v>
      </c>
      <c r="C17" s="217"/>
      <c r="D17" s="72">
        <f t="shared" si="0"/>
        <v>3.3756122208737451E-3</v>
      </c>
    </row>
    <row r="18" spans="1:4">
      <c r="A18" s="14" t="s">
        <v>224</v>
      </c>
      <c r="B18" s="219">
        <f>+Magazine!F134</f>
        <v>0</v>
      </c>
      <c r="C18" s="217"/>
      <c r="D18" s="72">
        <f t="shared" si="0"/>
        <v>0</v>
      </c>
    </row>
    <row r="19" spans="1:4">
      <c r="A19" s="14" t="s">
        <v>257</v>
      </c>
      <c r="B19" s="219">
        <f>+Magazine!F168</f>
        <v>6878967.8451463096</v>
      </c>
      <c r="C19" s="217"/>
      <c r="D19" s="72">
        <f t="shared" si="0"/>
        <v>0.53751685011744021</v>
      </c>
    </row>
    <row r="20" spans="1:4">
      <c r="A20" s="14" t="s">
        <v>162</v>
      </c>
      <c r="B20" s="219">
        <f>+Magazine!F220</f>
        <v>944648.95605496154</v>
      </c>
      <c r="C20" s="217"/>
      <c r="D20" s="72">
        <f t="shared" si="0"/>
        <v>7.3814087048489671E-2</v>
      </c>
    </row>
    <row r="21" spans="1:4">
      <c r="A21" s="14"/>
      <c r="B21" s="218"/>
      <c r="C21" s="217">
        <f>SUM(B12:B20)</f>
        <v>12797678.516763425</v>
      </c>
    </row>
    <row r="22" spans="1:4">
      <c r="A22" s="14"/>
      <c r="B22" s="14"/>
    </row>
    <row r="23" spans="1:4">
      <c r="A23" s="14" t="s">
        <v>270</v>
      </c>
      <c r="B23" s="14"/>
    </row>
    <row r="24" spans="1:4">
      <c r="A24" s="14" t="s">
        <v>226</v>
      </c>
      <c r="B24" s="218">
        <f>+'Digital Retail'!F18</f>
        <v>717066</v>
      </c>
      <c r="C24" s="217"/>
      <c r="D24" s="72">
        <f>+B24/C$27</f>
        <v>0.58977149075081614</v>
      </c>
    </row>
    <row r="25" spans="1:4">
      <c r="A25" s="14" t="s">
        <v>227</v>
      </c>
      <c r="B25" s="218">
        <f>+'Digital Retail'!F24</f>
        <v>396981.00000000012</v>
      </c>
      <c r="C25" s="217"/>
      <c r="D25" s="72">
        <f>+B25/C$27</f>
        <v>0.32650840532077913</v>
      </c>
    </row>
    <row r="26" spans="1:4">
      <c r="A26" s="14" t="s">
        <v>228</v>
      </c>
      <c r="B26" s="218">
        <f>+'Digital Retail'!F30</f>
        <v>101790.00000000001</v>
      </c>
      <c r="C26" s="217"/>
      <c r="D26" s="72">
        <f>+B26/C$27</f>
        <v>8.3720103928404885E-2</v>
      </c>
    </row>
    <row r="27" spans="1:4">
      <c r="A27" s="14"/>
      <c r="B27" s="218"/>
      <c r="C27" s="217">
        <f>SUM(B24:B26)</f>
        <v>1215837</v>
      </c>
    </row>
    <row r="28" spans="1:4">
      <c r="A28" s="14"/>
      <c r="B28" s="218"/>
      <c r="C28" s="217"/>
    </row>
    <row r="29" spans="1:4">
      <c r="A29" s="14" t="s">
        <v>43</v>
      </c>
      <c r="B29" s="218"/>
      <c r="C29" s="217"/>
    </row>
    <row r="30" spans="1:4">
      <c r="A30" s="14" t="s">
        <v>173</v>
      </c>
      <c r="B30" s="218">
        <f>+C9</f>
        <v>5239280.8493586974</v>
      </c>
      <c r="C30" s="217"/>
      <c r="D30" s="72">
        <f>+B30/C$33</f>
        <v>0.27213090242713595</v>
      </c>
    </row>
    <row r="31" spans="1:4">
      <c r="A31" s="14" t="s">
        <v>172</v>
      </c>
      <c r="B31" s="218">
        <f>+C21</f>
        <v>12797678.516763425</v>
      </c>
      <c r="C31" s="217"/>
      <c r="D31" s="72">
        <f>+B31/C$33</f>
        <v>0.66471790764289473</v>
      </c>
    </row>
    <row r="32" spans="1:4">
      <c r="A32" s="14" t="s">
        <v>225</v>
      </c>
      <c r="B32" s="218">
        <f>+C27</f>
        <v>1215837</v>
      </c>
      <c r="C32" s="217"/>
      <c r="D32" s="72">
        <f>+B32/C$33</f>
        <v>6.3151189929969251E-2</v>
      </c>
    </row>
    <row r="33" spans="1:4">
      <c r="A33" s="14"/>
      <c r="B33" s="218"/>
      <c r="C33" s="217">
        <f>SUM(B30:B32)</f>
        <v>19252796.366122123</v>
      </c>
    </row>
    <row r="34" spans="1:4">
      <c r="A34" s="14"/>
      <c r="B34" s="14"/>
    </row>
    <row r="35" spans="1:4">
      <c r="A35" s="24" t="s">
        <v>9</v>
      </c>
    </row>
    <row r="36" spans="1:4">
      <c r="A36" s="24" t="s">
        <v>10</v>
      </c>
      <c r="B36" s="70">
        <f>+Online!F29</f>
        <v>7154564.5867080027</v>
      </c>
      <c r="D36" s="108">
        <f>IF(C$40,+B36/C$40,0)</f>
        <v>0.66666666666666663</v>
      </c>
    </row>
    <row r="37" spans="1:4">
      <c r="A37" s="24" t="s">
        <v>271</v>
      </c>
      <c r="B37" s="70">
        <f>+Online!F31</f>
        <v>2146369.3760124007</v>
      </c>
      <c r="D37" s="108">
        <f>IF(C$40,+B37/C$40,0)</f>
        <v>0.19999999999999998</v>
      </c>
    </row>
    <row r="38" spans="1:4">
      <c r="A38" s="24" t="s">
        <v>41</v>
      </c>
      <c r="B38" s="70">
        <f>+Online!F33</f>
        <v>1430912.9173416006</v>
      </c>
      <c r="D38" s="108">
        <f>IF(C$40,+B38/C$40,0)</f>
        <v>0.13333333333333333</v>
      </c>
    </row>
    <row r="39" spans="1:4">
      <c r="A39" s="24" t="s">
        <v>73</v>
      </c>
      <c r="B39" s="70">
        <f>+Online!F35</f>
        <v>0</v>
      </c>
      <c r="D39" s="108">
        <f>IF(C$40,+B39/C$40,0)</f>
        <v>0</v>
      </c>
    </row>
    <row r="40" spans="1:4">
      <c r="C40" s="70">
        <f>SUM(B36:B39)</f>
        <v>10731846.880062005</v>
      </c>
    </row>
    <row r="41" spans="1:4">
      <c r="C41" s="70"/>
    </row>
    <row r="42" spans="1:4">
      <c r="C42" s="24" t="s">
        <v>273</v>
      </c>
    </row>
    <row r="43" spans="1:4">
      <c r="A43" s="24" t="s">
        <v>229</v>
      </c>
      <c r="B43" s="24" t="s">
        <v>272</v>
      </c>
      <c r="C43" s="215">
        <v>1.4</v>
      </c>
      <c r="D43" s="24" t="s">
        <v>288</v>
      </c>
    </row>
    <row r="44" spans="1:4">
      <c r="A44" s="24" t="s">
        <v>230</v>
      </c>
      <c r="B44" s="213">
        <f>+Online!B$54</f>
        <v>104714.226</v>
      </c>
      <c r="C44" s="216">
        <f>+B44/C$43</f>
        <v>74795.875714285721</v>
      </c>
      <c r="D44" s="213">
        <f>+Online!B$47</f>
        <v>47484.856068000001</v>
      </c>
    </row>
    <row r="45" spans="1:4">
      <c r="A45" s="24" t="s">
        <v>15</v>
      </c>
      <c r="B45" s="213">
        <f>+Online!C$54</f>
        <v>1151856.4860000003</v>
      </c>
      <c r="C45" s="216">
        <f>+B45/C$43</f>
        <v>822754.63285714306</v>
      </c>
      <c r="D45" s="213">
        <f>+Online!C$47</f>
        <v>68198.047540800006</v>
      </c>
    </row>
    <row r="46" spans="1:4">
      <c r="A46" s="24" t="s">
        <v>16</v>
      </c>
      <c r="B46" s="213">
        <f>+Online!D$54</f>
        <v>3801126.4038000004</v>
      </c>
      <c r="C46" s="216">
        <f>+B46/C$43</f>
        <v>2715090.288428572</v>
      </c>
      <c r="D46" s="213">
        <f>+Online!D$47</f>
        <v>124354.62320208002</v>
      </c>
    </row>
    <row r="47" spans="1:4">
      <c r="A47" s="24" t="s">
        <v>17</v>
      </c>
      <c r="B47" s="213">
        <f>+Online!E$54</f>
        <v>6968731.7403000006</v>
      </c>
      <c r="C47" s="216">
        <f>+B47/C$43</f>
        <v>4977665.5287857149</v>
      </c>
      <c r="D47" s="213">
        <f>+Online!E$47</f>
        <v>227851.07165044802</v>
      </c>
    </row>
    <row r="48" spans="1:4">
      <c r="A48" s="24" t="s">
        <v>18</v>
      </c>
      <c r="B48" s="213">
        <f>+Online!F$54</f>
        <v>10731846.880062005</v>
      </c>
      <c r="C48" s="216">
        <f>+B48/C$43</f>
        <v>7665604.9143300038</v>
      </c>
      <c r="D48" s="213">
        <f>+Online!F$47</f>
        <v>373117.58643461287</v>
      </c>
    </row>
    <row r="50" spans="1:5">
      <c r="A50" s="24" t="s">
        <v>231</v>
      </c>
      <c r="B50" s="24" t="s">
        <v>232</v>
      </c>
      <c r="C50" s="24" t="s">
        <v>233</v>
      </c>
    </row>
    <row r="51" spans="1:5">
      <c r="A51" s="24" t="s">
        <v>230</v>
      </c>
      <c r="B51" s="217">
        <f>+Online!B63+Online!B75</f>
        <v>104963.49636451202</v>
      </c>
      <c r="C51" s="217">
        <f>+Online!B80</f>
        <v>0</v>
      </c>
    </row>
    <row r="52" spans="1:5">
      <c r="A52" s="24" t="s">
        <v>15</v>
      </c>
      <c r="B52" s="217">
        <f>+Online!C63+Online!C75</f>
        <v>427650.45090076805</v>
      </c>
      <c r="C52" s="217">
        <f>+Online!C80</f>
        <v>60000</v>
      </c>
    </row>
    <row r="53" spans="1:5">
      <c r="A53" s="24" t="s">
        <v>16</v>
      </c>
      <c r="B53" s="217">
        <f>+Online!D63+Online!D75</f>
        <v>1133369.2411391428</v>
      </c>
      <c r="C53" s="217">
        <f>+Online!D80</f>
        <v>270000</v>
      </c>
    </row>
    <row r="54" spans="1:5">
      <c r="A54" s="24" t="s">
        <v>17</v>
      </c>
      <c r="B54" s="217">
        <f>+Online!E63+Online!E75</f>
        <v>2491568.6564370771</v>
      </c>
      <c r="C54" s="217">
        <f>+Online!E80</f>
        <v>720000</v>
      </c>
    </row>
    <row r="55" spans="1:5">
      <c r="A55" s="24" t="s">
        <v>18</v>
      </c>
      <c r="B55" s="217">
        <f>+Online!F63+Online!F75</f>
        <v>4039280.8493586974</v>
      </c>
      <c r="C55" s="217">
        <f>+Online!F80</f>
        <v>1200000</v>
      </c>
    </row>
    <row r="57" spans="1:5">
      <c r="A57" s="24" t="s">
        <v>239</v>
      </c>
      <c r="B57" s="24" t="s">
        <v>256</v>
      </c>
      <c r="C57" s="214" t="s">
        <v>165</v>
      </c>
      <c r="D57" s="24" t="s">
        <v>166</v>
      </c>
      <c r="E57" s="24" t="s">
        <v>301</v>
      </c>
    </row>
    <row r="58" spans="1:5">
      <c r="A58" s="24" t="s">
        <v>230</v>
      </c>
      <c r="B58" s="213">
        <f>+Magazine!B203</f>
        <v>632876.21278878674</v>
      </c>
      <c r="C58" s="24">
        <f>+Magazine!B204</f>
        <v>120000</v>
      </c>
      <c r="D58" s="24">
        <f>+Magazine!B205</f>
        <v>0</v>
      </c>
      <c r="E58" s="30">
        <f>SUM(B58:D58)</f>
        <v>752876.21278878674</v>
      </c>
    </row>
    <row r="59" spans="1:5">
      <c r="A59" s="24" t="s">
        <v>15</v>
      </c>
      <c r="B59" s="213">
        <f>+Magazine!C203</f>
        <v>657013.79448719299</v>
      </c>
      <c r="C59" s="24">
        <f>+Magazine!C204</f>
        <v>102600</v>
      </c>
      <c r="D59" s="24">
        <f>+Magazine!C205</f>
        <v>9000</v>
      </c>
      <c r="E59" s="30">
        <f>SUM(B59:D59)</f>
        <v>768613.79448719299</v>
      </c>
    </row>
    <row r="60" spans="1:5">
      <c r="A60" s="24" t="s">
        <v>16</v>
      </c>
      <c r="B60" s="213">
        <f>+Magazine!D203</f>
        <v>659325.09488533647</v>
      </c>
      <c r="C60" s="24">
        <f>+Magazine!D204</f>
        <v>86400</v>
      </c>
      <c r="D60" s="24">
        <f>+Magazine!D205</f>
        <v>27000</v>
      </c>
      <c r="E60" s="30">
        <f>SUM(B60:D60)</f>
        <v>772725.09488533647</v>
      </c>
    </row>
    <row r="61" spans="1:5">
      <c r="A61" s="24" t="s">
        <v>17</v>
      </c>
      <c r="B61" s="213">
        <f>+Magazine!E203</f>
        <v>654338.91814817046</v>
      </c>
      <c r="C61" s="24">
        <f>+Magazine!E204</f>
        <v>71400</v>
      </c>
      <c r="D61" s="24">
        <f>+Magazine!E205</f>
        <v>54000</v>
      </c>
      <c r="E61" s="30">
        <f>SUM(B61:D61)</f>
        <v>779738.91814817046</v>
      </c>
    </row>
    <row r="62" spans="1:5">
      <c r="A62" s="24" t="s">
        <v>18</v>
      </c>
      <c r="B62" s="213">
        <f>+Magazine!F203</f>
        <v>648607.46337913466</v>
      </c>
      <c r="C62" s="24">
        <f>+Magazine!F204</f>
        <v>57600</v>
      </c>
      <c r="D62" s="24">
        <f>+Magazine!F205</f>
        <v>81000</v>
      </c>
      <c r="E62" s="30">
        <f>SUM(B62:D62)</f>
        <v>787207.46337913466</v>
      </c>
    </row>
    <row r="64" spans="1:5">
      <c r="A64" s="24" t="s">
        <v>275</v>
      </c>
    </row>
    <row r="65" spans="1:7">
      <c r="A65" s="24" t="s">
        <v>276</v>
      </c>
      <c r="B65" s="211">
        <f>+Online!F84</f>
        <v>807856.16987173958</v>
      </c>
      <c r="C65" s="108">
        <f>+B65/SUM(B$65:B$68)</f>
        <v>0.15419218650411215</v>
      </c>
    </row>
    <row r="66" spans="1:7">
      <c r="A66" s="24" t="s">
        <v>277</v>
      </c>
      <c r="B66" s="211">
        <f>+Online!F85</f>
        <v>2625532.5520831537</v>
      </c>
      <c r="C66" s="108">
        <f>+B66/SUM(B$65:B$68)</f>
        <v>0.50112460613836451</v>
      </c>
    </row>
    <row r="67" spans="1:7">
      <c r="A67" s="24" t="s">
        <v>278</v>
      </c>
      <c r="B67" s="211">
        <f>+Online!F86</f>
        <v>605892.12740380468</v>
      </c>
      <c r="C67" s="108">
        <f>+B67/SUM(B$65:B$68)</f>
        <v>0.11564413987808411</v>
      </c>
    </row>
    <row r="68" spans="1:7">
      <c r="A68" s="24" t="s">
        <v>279</v>
      </c>
      <c r="B68" s="211">
        <f>+Online!F87</f>
        <v>1200000</v>
      </c>
      <c r="C68" s="108">
        <f>+B68/SUM(B$65:B$68)</f>
        <v>0.22903906747943911</v>
      </c>
    </row>
    <row r="70" spans="1:7">
      <c r="A70" s="24" t="s">
        <v>289</v>
      </c>
    </row>
    <row r="71" spans="1:7">
      <c r="A71" s="24" t="s">
        <v>230</v>
      </c>
      <c r="B71" s="211">
        <f>+Summary!B27</f>
        <v>511096.144439633</v>
      </c>
      <c r="G71" s="211"/>
    </row>
    <row r="72" spans="1:7">
      <c r="A72" s="24" t="s">
        <v>15</v>
      </c>
      <c r="B72" s="211">
        <f>+Summary!C27</f>
        <v>464539.11804543901</v>
      </c>
    </row>
    <row r="73" spans="1:7">
      <c r="A73" s="24" t="s">
        <v>16</v>
      </c>
      <c r="B73" s="211">
        <f>+Summary!D27</f>
        <v>1136173.7323823832</v>
      </c>
    </row>
    <row r="74" spans="1:7">
      <c r="A74" s="24" t="s">
        <v>17</v>
      </c>
      <c r="B74" s="211">
        <f>+Summary!E27</f>
        <v>2677431.3249405473</v>
      </c>
    </row>
    <row r="75" spans="1:7">
      <c r="A75" s="24" t="s">
        <v>18</v>
      </c>
      <c r="B75" s="211">
        <f>+Summary!F27</f>
        <v>4658606.5925350338</v>
      </c>
    </row>
  </sheetData>
  <phoneticPr fontId="8" type="noConversion"/>
  <pageMargins left="0.25" right="0.25" top="0.25" bottom="0.25" header="0.5" footer="0.5"/>
  <pageSetup scale="93" fitToHeight="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11</vt:i4>
      </vt:variant>
    </vt:vector>
  </HeadingPairs>
  <TitlesOfParts>
    <vt:vector size="20" baseType="lpstr">
      <vt:lpstr>Sheet1</vt:lpstr>
      <vt:lpstr>Summary</vt:lpstr>
      <vt:lpstr>Online</vt:lpstr>
      <vt:lpstr>Magazine</vt:lpstr>
      <vt:lpstr>Digital Retail</vt:lpstr>
      <vt:lpstr>Overhead</vt:lpstr>
      <vt:lpstr>DC Costs</vt:lpstr>
      <vt:lpstr>Email Costs</vt:lpstr>
      <vt:lpstr>Graph Data</vt:lpstr>
      <vt:lpstr>Visits</vt:lpstr>
      <vt:lpstr>Online Rev</vt:lpstr>
      <vt:lpstr>Magazine Rev</vt:lpstr>
      <vt:lpstr>DigRetail Rev</vt:lpstr>
      <vt:lpstr>Total Rev</vt:lpstr>
      <vt:lpstr>Profit Growth</vt:lpstr>
      <vt:lpstr>Product Mix</vt:lpstr>
      <vt:lpstr>Online P&amp;L</vt:lpstr>
      <vt:lpstr>Aud Growth</vt:lpstr>
      <vt:lpstr>Rev Growth</vt:lpstr>
      <vt:lpstr>Circ Growth</vt:lpstr>
    </vt:vector>
  </TitlesOfParts>
  <Company>Mequoda Group,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Nicholas</dc:creator>
  <cp:lastModifiedBy>Laura Pittman</cp:lastModifiedBy>
  <cp:lastPrinted>2012-05-15T14:39:49Z</cp:lastPrinted>
  <dcterms:created xsi:type="dcterms:W3CDTF">2010-03-18T21:00:35Z</dcterms:created>
  <dcterms:modified xsi:type="dcterms:W3CDTF">2012-07-16T18:31:40Z</dcterms:modified>
</cp:coreProperties>
</file>